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53222"/>
  <mc:AlternateContent xmlns:mc="http://schemas.openxmlformats.org/markup-compatibility/2006">
    <mc:Choice Requires="x15">
      <x15ac:absPath xmlns:x15ac="http://schemas.microsoft.com/office/spreadsheetml/2010/11/ac" url="S:\Data\SDF\Work streams\STATS Policy, Analysis and Engagement\DEBT RELIEF\DEBT RELIEF - GRANT EQUIVALENT\Year 2021\"/>
    </mc:Choice>
  </mc:AlternateContent>
  <bookViews>
    <workbookView xWindow="0" yWindow="0" windowWidth="19200" windowHeight="7095" tabRatio="842" firstSheet="1" activeTab="1"/>
  </bookViews>
  <sheets>
    <sheet name="Dashboard" sheetId="23" state="hidden" r:id="rId1"/>
    <sheet name="read me" sheetId="52" r:id="rId2"/>
    <sheet name="template_ODA reporting" sheetId="53" r:id="rId3"/>
    <sheet name="Example 1_ step 0" sheetId="26" r:id="rId4"/>
    <sheet name="Example 1_ case 1" sheetId="27" r:id="rId5"/>
    <sheet name="Example 1_ case 2" sheetId="28" r:id="rId6"/>
    <sheet name="Example 1_ case 3" sheetId="29" r:id="rId7"/>
    <sheet name="Example 1_ case 4" sheetId="30" r:id="rId8"/>
    <sheet name="Example 1_ case 5" sheetId="31" r:id="rId9"/>
    <sheet name="Example 1_ case 6" sheetId="32" r:id="rId10"/>
    <sheet name="Example 2_step 0" sheetId="56" r:id="rId11"/>
    <sheet name="Example 2_case 7" sheetId="42" r:id="rId12"/>
    <sheet name="Example 3_step 0" sheetId="57" r:id="rId13"/>
    <sheet name="Example 3_case 8" sheetId="33" r:id="rId14"/>
    <sheet name="Example 3_case 9" sheetId="34" r:id="rId1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3" i="53" l="1"/>
  <c r="E70" i="53" l="1"/>
  <c r="E73" i="53" s="1"/>
  <c r="F54" i="53"/>
  <c r="H43" i="53"/>
  <c r="F57" i="53" s="1"/>
  <c r="S43" i="53"/>
  <c r="M43" i="53"/>
  <c r="B56" i="34" l="1"/>
  <c r="M16" i="34"/>
  <c r="B44" i="33"/>
  <c r="M16" i="33"/>
  <c r="L16" i="33"/>
  <c r="H37" i="33"/>
  <c r="H33" i="33"/>
  <c r="H32" i="33"/>
  <c r="E14" i="57"/>
  <c r="F14" i="57" s="1"/>
  <c r="K14" i="57" s="1"/>
  <c r="G14" i="57"/>
  <c r="J14" i="57"/>
  <c r="E15" i="57"/>
  <c r="F15" i="57" s="1"/>
  <c r="G15" i="57"/>
  <c r="J15" i="57"/>
  <c r="E16" i="57"/>
  <c r="F16" i="57" s="1"/>
  <c r="G16" i="57"/>
  <c r="J16" i="57"/>
  <c r="E17" i="57"/>
  <c r="F17" i="57" s="1"/>
  <c r="G17" i="57"/>
  <c r="J17" i="57"/>
  <c r="E18" i="57"/>
  <c r="F18" i="57" s="1"/>
  <c r="G18" i="57"/>
  <c r="J18" i="57"/>
  <c r="D19" i="57"/>
  <c r="C20" i="57" s="1"/>
  <c r="E19" i="57"/>
  <c r="G19" i="57"/>
  <c r="J19" i="57"/>
  <c r="D20" i="57"/>
  <c r="G20" i="57"/>
  <c r="J20" i="57"/>
  <c r="D21" i="57"/>
  <c r="G21" i="57"/>
  <c r="J21" i="57"/>
  <c r="D22" i="57"/>
  <c r="G22" i="57"/>
  <c r="J22" i="57"/>
  <c r="D23" i="57"/>
  <c r="G23" i="57"/>
  <c r="J23" i="57"/>
  <c r="D24" i="57"/>
  <c r="G24" i="57"/>
  <c r="J24" i="57"/>
  <c r="D25" i="57"/>
  <c r="G25" i="57"/>
  <c r="J25" i="57"/>
  <c r="D26" i="57"/>
  <c r="G26" i="57"/>
  <c r="J26" i="57"/>
  <c r="D27" i="57"/>
  <c r="G27" i="57"/>
  <c r="J27" i="57"/>
  <c r="D28" i="57"/>
  <c r="G28" i="57"/>
  <c r="J28" i="57"/>
  <c r="D29" i="57"/>
  <c r="G29" i="57"/>
  <c r="J29" i="57"/>
  <c r="D30" i="57"/>
  <c r="G30" i="57"/>
  <c r="J30" i="57"/>
  <c r="D31" i="57"/>
  <c r="G31" i="57"/>
  <c r="J31" i="57"/>
  <c r="B77" i="42"/>
  <c r="B76" i="42"/>
  <c r="H69" i="42"/>
  <c r="K28" i="42"/>
  <c r="K29" i="42" s="1"/>
  <c r="F19" i="57" l="1"/>
  <c r="H15" i="57"/>
  <c r="K15" i="57"/>
  <c r="H17" i="57"/>
  <c r="K17" i="57"/>
  <c r="E20" i="57"/>
  <c r="F20" i="57" s="1"/>
  <c r="C21" i="57"/>
  <c r="H18" i="57"/>
  <c r="K18" i="57"/>
  <c r="H16" i="57"/>
  <c r="K16" i="57"/>
  <c r="H14" i="57"/>
  <c r="K30" i="42"/>
  <c r="K31" i="42" s="1"/>
  <c r="G32" i="56"/>
  <c r="D32" i="56"/>
  <c r="G31" i="56"/>
  <c r="D31" i="56"/>
  <c r="G30" i="56"/>
  <c r="D30" i="56"/>
  <c r="G29" i="56"/>
  <c r="D29" i="56"/>
  <c r="G28" i="56"/>
  <c r="D28" i="56"/>
  <c r="G27" i="56"/>
  <c r="D27" i="56"/>
  <c r="G26" i="56"/>
  <c r="D26" i="56"/>
  <c r="G25" i="56"/>
  <c r="D25" i="56"/>
  <c r="G24" i="56"/>
  <c r="D24" i="56"/>
  <c r="G23" i="56"/>
  <c r="D23" i="56"/>
  <c r="G22" i="56"/>
  <c r="D22" i="56"/>
  <c r="G21" i="56"/>
  <c r="D21" i="56"/>
  <c r="G20" i="56"/>
  <c r="E20" i="56"/>
  <c r="D20" i="56"/>
  <c r="C21" i="56" s="1"/>
  <c r="G19" i="56"/>
  <c r="E19" i="56"/>
  <c r="F19" i="56" s="1"/>
  <c r="G18" i="56"/>
  <c r="E18" i="56"/>
  <c r="F18" i="56" s="1"/>
  <c r="G17" i="56"/>
  <c r="E17" i="56"/>
  <c r="F17" i="56" s="1"/>
  <c r="G16" i="56"/>
  <c r="E16" i="56"/>
  <c r="F16" i="56" s="1"/>
  <c r="H16" i="56" s="1"/>
  <c r="G15" i="56"/>
  <c r="E15" i="56"/>
  <c r="F15" i="56" s="1"/>
  <c r="B48" i="32"/>
  <c r="B47" i="32"/>
  <c r="H40" i="32"/>
  <c r="B59" i="31"/>
  <c r="B58" i="31"/>
  <c r="H52" i="31"/>
  <c r="B50" i="30"/>
  <c r="B49" i="30"/>
  <c r="B46" i="29"/>
  <c r="B45" i="29"/>
  <c r="H38" i="29"/>
  <c r="B53" i="28"/>
  <c r="B52" i="28"/>
  <c r="H43" i="28"/>
  <c r="H44" i="28" s="1"/>
  <c r="B54" i="28" s="1"/>
  <c r="H19" i="57" l="1"/>
  <c r="K19" i="57"/>
  <c r="E21" i="57"/>
  <c r="F21" i="57" s="1"/>
  <c r="C22" i="57"/>
  <c r="K20" i="57"/>
  <c r="H20" i="57"/>
  <c r="H15" i="56"/>
  <c r="H19" i="56"/>
  <c r="H17" i="56"/>
  <c r="H18" i="56"/>
  <c r="B55" i="28"/>
  <c r="B56" i="28"/>
  <c r="E21" i="56"/>
  <c r="F21" i="56" s="1"/>
  <c r="H21" i="56" s="1"/>
  <c r="C22" i="56"/>
  <c r="F20" i="56"/>
  <c r="H20" i="56" s="1"/>
  <c r="H33" i="27"/>
  <c r="B43" i="27"/>
  <c r="J14" i="26"/>
  <c r="J15" i="26"/>
  <c r="J16" i="26"/>
  <c r="J17" i="26"/>
  <c r="J18" i="26"/>
  <c r="J19" i="26"/>
  <c r="J20" i="26"/>
  <c r="J21" i="26"/>
  <c r="J22" i="26"/>
  <c r="J23" i="26"/>
  <c r="J24" i="26"/>
  <c r="J25" i="26"/>
  <c r="J26" i="26"/>
  <c r="J27" i="26"/>
  <c r="J28" i="26"/>
  <c r="J29" i="26"/>
  <c r="J30" i="26"/>
  <c r="J31" i="26"/>
  <c r="E22" i="57" l="1"/>
  <c r="F22" i="57" s="1"/>
  <c r="C23" i="57"/>
  <c r="H21" i="57"/>
  <c r="K21" i="57"/>
  <c r="E22" i="56"/>
  <c r="F22" i="56" s="1"/>
  <c r="H22" i="56" s="1"/>
  <c r="C23" i="56"/>
  <c r="E23" i="57" l="1"/>
  <c r="F23" i="57" s="1"/>
  <c r="C24" i="57"/>
  <c r="H22" i="57"/>
  <c r="K22" i="57"/>
  <c r="E23" i="56"/>
  <c r="F23" i="56" s="1"/>
  <c r="H23" i="56" s="1"/>
  <c r="C24" i="56"/>
  <c r="K18" i="33"/>
  <c r="E24" i="57" l="1"/>
  <c r="F24" i="57" s="1"/>
  <c r="C25" i="57"/>
  <c r="H23" i="57"/>
  <c r="K23" i="57"/>
  <c r="C25" i="56"/>
  <c r="E24" i="56"/>
  <c r="F24" i="56" s="1"/>
  <c r="H24" i="56" s="1"/>
  <c r="E25" i="57" l="1"/>
  <c r="F25" i="57" s="1"/>
  <c r="C26" i="57"/>
  <c r="K24" i="57"/>
  <c r="H24" i="57"/>
  <c r="E25" i="56"/>
  <c r="F25" i="56" s="1"/>
  <c r="H25" i="56" s="1"/>
  <c r="C26" i="56"/>
  <c r="C27" i="57" l="1"/>
  <c r="E26" i="57"/>
  <c r="F26" i="57" s="1"/>
  <c r="H25" i="57"/>
  <c r="K25" i="57"/>
  <c r="E26" i="56"/>
  <c r="F26" i="56" s="1"/>
  <c r="H26" i="56" s="1"/>
  <c r="C27" i="56"/>
  <c r="G60" i="42"/>
  <c r="G59" i="42"/>
  <c r="H59" i="42" s="1"/>
  <c r="G58" i="42"/>
  <c r="H58" i="42" s="1"/>
  <c r="G57" i="42"/>
  <c r="H57" i="42" s="1"/>
  <c r="G56" i="42"/>
  <c r="H56" i="42" s="1"/>
  <c r="G55" i="42"/>
  <c r="H55" i="42" s="1"/>
  <c r="G54" i="42"/>
  <c r="H54" i="42" s="1"/>
  <c r="G53" i="42"/>
  <c r="H53" i="42" s="1"/>
  <c r="G52" i="42"/>
  <c r="H52" i="42" s="1"/>
  <c r="G51" i="42"/>
  <c r="H51" i="42" s="1"/>
  <c r="G50" i="42"/>
  <c r="H50" i="42" s="1"/>
  <c r="G49" i="42"/>
  <c r="H49" i="42" s="1"/>
  <c r="G48" i="42"/>
  <c r="H48" i="42" s="1"/>
  <c r="G47" i="42"/>
  <c r="H47" i="42" s="1"/>
  <c r="G46" i="42"/>
  <c r="H46" i="42" s="1"/>
  <c r="G45" i="42"/>
  <c r="H45" i="42" s="1"/>
  <c r="G44" i="42"/>
  <c r="H44" i="42" s="1"/>
  <c r="G43" i="42"/>
  <c r="H43" i="42" s="1"/>
  <c r="G42" i="42"/>
  <c r="H42" i="42" s="1"/>
  <c r="G41" i="42"/>
  <c r="H41" i="42" s="1"/>
  <c r="G40" i="42"/>
  <c r="H40" i="42" s="1"/>
  <c r="G39" i="42"/>
  <c r="H39" i="42" s="1"/>
  <c r="G38" i="42"/>
  <c r="H38" i="42" s="1"/>
  <c r="G37" i="42"/>
  <c r="H37" i="42" s="1"/>
  <c r="G36" i="42"/>
  <c r="H36" i="42" s="1"/>
  <c r="G35" i="42"/>
  <c r="H35" i="42" s="1"/>
  <c r="G34" i="42"/>
  <c r="H34" i="42" s="1"/>
  <c r="G33" i="42"/>
  <c r="H33" i="42" s="1"/>
  <c r="G32" i="42"/>
  <c r="H32" i="42" s="1"/>
  <c r="G31" i="42"/>
  <c r="H31" i="42" s="1"/>
  <c r="G30" i="42"/>
  <c r="F30" i="42"/>
  <c r="G29" i="42"/>
  <c r="F29" i="42"/>
  <c r="G28" i="42"/>
  <c r="F28" i="42"/>
  <c r="H28" i="42" s="1"/>
  <c r="G27" i="42"/>
  <c r="D27" i="42"/>
  <c r="G26" i="42"/>
  <c r="D26" i="42"/>
  <c r="G25" i="42"/>
  <c r="D25" i="42"/>
  <c r="G24" i="42"/>
  <c r="D24" i="42"/>
  <c r="G23" i="42"/>
  <c r="D23" i="42"/>
  <c r="G22" i="42"/>
  <c r="D22" i="42"/>
  <c r="G21" i="42"/>
  <c r="D21" i="42"/>
  <c r="G20" i="42"/>
  <c r="D20" i="42"/>
  <c r="G19" i="42"/>
  <c r="D19" i="42"/>
  <c r="G18" i="42"/>
  <c r="E18" i="42"/>
  <c r="D18" i="42"/>
  <c r="G17" i="42"/>
  <c r="E17" i="42"/>
  <c r="F17" i="42" s="1"/>
  <c r="H17" i="42" s="1"/>
  <c r="G16" i="42"/>
  <c r="E16" i="42"/>
  <c r="F16" i="42" s="1"/>
  <c r="G15" i="42"/>
  <c r="E15" i="42"/>
  <c r="F15" i="42" s="1"/>
  <c r="H15" i="42" s="1"/>
  <c r="G14" i="42"/>
  <c r="E14" i="42"/>
  <c r="F14" i="42" s="1"/>
  <c r="H14" i="42" s="1"/>
  <c r="G13" i="42"/>
  <c r="E13" i="42"/>
  <c r="F13" i="42" s="1"/>
  <c r="H13" i="42" s="1"/>
  <c r="G7" i="42"/>
  <c r="K26" i="57" l="1"/>
  <c r="H26" i="57"/>
  <c r="E27" i="57"/>
  <c r="F27" i="57" s="1"/>
  <c r="C28" i="57"/>
  <c r="H29" i="42"/>
  <c r="H30" i="42"/>
  <c r="H16" i="42"/>
  <c r="C19" i="42"/>
  <c r="AB9" i="42"/>
  <c r="C28" i="56"/>
  <c r="E27" i="56"/>
  <c r="F27" i="56" s="1"/>
  <c r="H27" i="56" s="1"/>
  <c r="C20" i="42"/>
  <c r="E19" i="42"/>
  <c r="F19" i="42" s="1"/>
  <c r="H19" i="42" s="1"/>
  <c r="F18" i="42"/>
  <c r="H18" i="42" s="1"/>
  <c r="E28" i="57" l="1"/>
  <c r="F28" i="57" s="1"/>
  <c r="C29" i="57"/>
  <c r="H27" i="57"/>
  <c r="K27" i="57"/>
  <c r="C29" i="56"/>
  <c r="E28" i="56"/>
  <c r="F28" i="56" s="1"/>
  <c r="H28" i="56" s="1"/>
  <c r="E20" i="42"/>
  <c r="F20" i="42" s="1"/>
  <c r="H20" i="42" s="1"/>
  <c r="C21" i="42"/>
  <c r="V14" i="27"/>
  <c r="V13" i="27"/>
  <c r="V11" i="27"/>
  <c r="N16" i="34"/>
  <c r="K19" i="33"/>
  <c r="K20" i="33" s="1"/>
  <c r="K21" i="33" s="1"/>
  <c r="E29" i="57" l="1"/>
  <c r="F29" i="57" s="1"/>
  <c r="C30" i="57"/>
  <c r="K28" i="57"/>
  <c r="H28" i="57"/>
  <c r="C30" i="56"/>
  <c r="E29" i="56"/>
  <c r="F29" i="56" s="1"/>
  <c r="H29" i="56" s="1"/>
  <c r="C22" i="42"/>
  <c r="E21" i="42"/>
  <c r="F21" i="42" s="1"/>
  <c r="H21" i="42" s="1"/>
  <c r="O16" i="34"/>
  <c r="C31" i="57" l="1"/>
  <c r="E31" i="57" s="1"/>
  <c r="F31" i="57" s="1"/>
  <c r="E30" i="57"/>
  <c r="F30" i="57" s="1"/>
  <c r="H29" i="57"/>
  <c r="K29" i="57"/>
  <c r="E30" i="56"/>
  <c r="F30" i="56" s="1"/>
  <c r="H30" i="56" s="1"/>
  <c r="C31" i="56"/>
  <c r="E22" i="42"/>
  <c r="F22" i="42" s="1"/>
  <c r="H22" i="42" s="1"/>
  <c r="C23" i="42"/>
  <c r="K30" i="57" l="1"/>
  <c r="H30" i="57"/>
  <c r="H31" i="57"/>
  <c r="K31" i="57"/>
  <c r="C32" i="56"/>
  <c r="E32" i="56" s="1"/>
  <c r="F32" i="56" s="1"/>
  <c r="H32" i="56" s="1"/>
  <c r="E31" i="56"/>
  <c r="F31" i="56" s="1"/>
  <c r="H31" i="56" s="1"/>
  <c r="E23" i="42"/>
  <c r="F23" i="42" s="1"/>
  <c r="H23" i="42" s="1"/>
  <c r="C24" i="42"/>
  <c r="H33" i="57" l="1"/>
  <c r="H34" i="57" s="1"/>
  <c r="K33" i="57"/>
  <c r="H34" i="56"/>
  <c r="H35" i="56" s="1"/>
  <c r="H68" i="42" s="1"/>
  <c r="H70" i="42" s="1"/>
  <c r="B78" i="42" s="1"/>
  <c r="E24" i="42"/>
  <c r="F24" i="42" s="1"/>
  <c r="H24" i="42" s="1"/>
  <c r="C25" i="42"/>
  <c r="H36" i="57" l="1"/>
  <c r="B57" i="34"/>
  <c r="B45" i="33"/>
  <c r="K34" i="57"/>
  <c r="B80" i="42"/>
  <c r="B79" i="42"/>
  <c r="H37" i="56"/>
  <c r="E25" i="42"/>
  <c r="F25" i="42" s="1"/>
  <c r="H25" i="42" s="1"/>
  <c r="C26" i="42"/>
  <c r="K36" i="57" l="1"/>
  <c r="H36" i="33"/>
  <c r="H38" i="33" s="1"/>
  <c r="B46" i="33" s="1"/>
  <c r="B48" i="33" s="1"/>
  <c r="H48" i="34"/>
  <c r="H50" i="34" s="1"/>
  <c r="E26" i="42"/>
  <c r="F26" i="42" s="1"/>
  <c r="H26" i="42" s="1"/>
  <c r="C27" i="42"/>
  <c r="B47" i="33" l="1"/>
  <c r="C28" i="42"/>
  <c r="L28" i="42" s="1"/>
  <c r="M28" i="42" s="1"/>
  <c r="E27" i="42"/>
  <c r="F27" i="42" s="1"/>
  <c r="H27" i="42" s="1"/>
  <c r="H62" i="42" s="1"/>
  <c r="H64" i="42" s="1"/>
  <c r="C29" i="42" l="1"/>
  <c r="L29" i="42" s="1"/>
  <c r="M29" i="42" s="1"/>
  <c r="C30" i="42" l="1"/>
  <c r="L31" i="42" l="1"/>
  <c r="L32" i="42"/>
  <c r="L30" i="42"/>
  <c r="L38" i="42"/>
  <c r="L46" i="42"/>
  <c r="L54" i="42"/>
  <c r="L49" i="42"/>
  <c r="L34" i="42"/>
  <c r="L42" i="42"/>
  <c r="L58" i="42"/>
  <c r="L43" i="42"/>
  <c r="L59" i="42"/>
  <c r="L52" i="42"/>
  <c r="L37" i="42"/>
  <c r="L45" i="42"/>
  <c r="L39" i="42"/>
  <c r="L47" i="42"/>
  <c r="L55" i="42"/>
  <c r="L40" i="42"/>
  <c r="L48" i="42"/>
  <c r="L56" i="42"/>
  <c r="L33" i="42"/>
  <c r="L41" i="42"/>
  <c r="L57" i="42"/>
  <c r="L35" i="42"/>
  <c r="L51" i="42"/>
  <c r="L44" i="42"/>
  <c r="L50" i="42"/>
  <c r="L36" i="42"/>
  <c r="L53" i="42"/>
  <c r="C31" i="42"/>
  <c r="M30" i="42" l="1"/>
  <c r="AB8" i="42"/>
  <c r="C32" i="42"/>
  <c r="K32" i="42" l="1"/>
  <c r="M31" i="42"/>
  <c r="C33" i="42"/>
  <c r="M32" i="42" l="1"/>
  <c r="K33" i="42"/>
  <c r="C34" i="42"/>
  <c r="C35" i="42" l="1"/>
  <c r="M33" i="42"/>
  <c r="K34" i="42"/>
  <c r="C36" i="42" l="1"/>
  <c r="K35" i="42"/>
  <c r="M34" i="42"/>
  <c r="D18" i="31"/>
  <c r="C37" i="42" l="1"/>
  <c r="M35" i="42"/>
  <c r="K36" i="42"/>
  <c r="K37" i="42" l="1"/>
  <c r="M36" i="42"/>
  <c r="C38" i="42"/>
  <c r="C39" i="42" l="1"/>
  <c r="M37" i="42"/>
  <c r="K38" i="42"/>
  <c r="M38" i="42" l="1"/>
  <c r="K39" i="42"/>
  <c r="C40" i="42"/>
  <c r="G28" i="27"/>
  <c r="G13" i="27"/>
  <c r="G21" i="27"/>
  <c r="G22" i="27"/>
  <c r="G29" i="27"/>
  <c r="G14" i="27"/>
  <c r="G16" i="27"/>
  <c r="G24" i="27"/>
  <c r="G17" i="27"/>
  <c r="G25" i="27"/>
  <c r="G30" i="27"/>
  <c r="G15" i="27"/>
  <c r="G23" i="27"/>
  <c r="G18" i="27"/>
  <c r="G26" i="27"/>
  <c r="G19" i="27"/>
  <c r="G27" i="27"/>
  <c r="G20" i="27"/>
  <c r="D31" i="26"/>
  <c r="D30" i="26"/>
  <c r="D29" i="26"/>
  <c r="D28" i="26"/>
  <c r="D27" i="26"/>
  <c r="D26" i="26"/>
  <c r="D25" i="26"/>
  <c r="D24" i="26"/>
  <c r="D23" i="26"/>
  <c r="D22" i="26"/>
  <c r="D21" i="26"/>
  <c r="D20" i="26"/>
  <c r="D19" i="26"/>
  <c r="C41" i="42" l="1"/>
  <c r="K40" i="42"/>
  <c r="M39" i="42"/>
  <c r="G7" i="34"/>
  <c r="E13" i="34"/>
  <c r="F13" i="34" s="1"/>
  <c r="E14" i="34"/>
  <c r="F14" i="34" s="1"/>
  <c r="E15" i="34"/>
  <c r="F15" i="34" s="1"/>
  <c r="F16" i="34"/>
  <c r="F17" i="34"/>
  <c r="F18" i="34"/>
  <c r="F19" i="34"/>
  <c r="F20" i="34"/>
  <c r="F21" i="34"/>
  <c r="D28" i="34"/>
  <c r="D29" i="34"/>
  <c r="D30" i="34"/>
  <c r="D31" i="34"/>
  <c r="D32" i="34"/>
  <c r="D33" i="34"/>
  <c r="D34" i="34"/>
  <c r="D35" i="34"/>
  <c r="D36" i="34"/>
  <c r="D37" i="34"/>
  <c r="D38" i="34"/>
  <c r="D39" i="34"/>
  <c r="D40" i="34"/>
  <c r="E14" i="33"/>
  <c r="F14" i="33" s="1"/>
  <c r="E15" i="33"/>
  <c r="F15" i="33" s="1"/>
  <c r="F16" i="33"/>
  <c r="F17" i="33"/>
  <c r="F18" i="33"/>
  <c r="F19" i="33"/>
  <c r="F20" i="33"/>
  <c r="F21" i="33"/>
  <c r="C13" i="32"/>
  <c r="E13" i="32" s="1"/>
  <c r="F13" i="32" s="1"/>
  <c r="C14" i="32"/>
  <c r="E14" i="32" s="1"/>
  <c r="F14" i="32" s="1"/>
  <c r="C15" i="32"/>
  <c r="E15" i="32" s="1"/>
  <c r="F15" i="32" s="1"/>
  <c r="C16" i="32"/>
  <c r="E16" i="32" s="1"/>
  <c r="F16" i="32" s="1"/>
  <c r="C13" i="31"/>
  <c r="E13" i="31" s="1"/>
  <c r="F13" i="31" s="1"/>
  <c r="C14" i="31"/>
  <c r="E14" i="31" s="1"/>
  <c r="F14" i="31" s="1"/>
  <c r="C15" i="31"/>
  <c r="E15" i="31" s="1"/>
  <c r="F15" i="31" s="1"/>
  <c r="C16" i="31"/>
  <c r="E16" i="31" s="1"/>
  <c r="F17" i="31"/>
  <c r="F18" i="31"/>
  <c r="C13" i="30"/>
  <c r="C14" i="30"/>
  <c r="E14" i="30" s="1"/>
  <c r="F14" i="30" s="1"/>
  <c r="C15" i="30"/>
  <c r="E15" i="30" s="1"/>
  <c r="F15" i="30" s="1"/>
  <c r="C16" i="30"/>
  <c r="E16" i="30" s="1"/>
  <c r="F17" i="30"/>
  <c r="C13" i="29"/>
  <c r="E13" i="29" s="1"/>
  <c r="C14" i="29"/>
  <c r="E14" i="29" s="1"/>
  <c r="F14" i="29" s="1"/>
  <c r="C15" i="29"/>
  <c r="E15" i="29" s="1"/>
  <c r="F15" i="29" s="1"/>
  <c r="C16" i="29"/>
  <c r="E16" i="29" s="1"/>
  <c r="F16" i="29" s="1"/>
  <c r="F17" i="29"/>
  <c r="E19" i="29"/>
  <c r="F19" i="29" s="1"/>
  <c r="E20" i="29"/>
  <c r="F20" i="29" s="1"/>
  <c r="E21" i="29"/>
  <c r="F21" i="29" s="1"/>
  <c r="E22" i="29"/>
  <c r="F22" i="29" s="1"/>
  <c r="E23" i="29"/>
  <c r="F23" i="29" s="1"/>
  <c r="E24" i="29"/>
  <c r="F24" i="29" s="1"/>
  <c r="E25" i="29"/>
  <c r="F25" i="29" s="1"/>
  <c r="E26" i="29"/>
  <c r="F26" i="29" s="1"/>
  <c r="E27" i="29"/>
  <c r="F27" i="29" s="1"/>
  <c r="E28" i="29"/>
  <c r="F28" i="29" s="1"/>
  <c r="E29" i="29"/>
  <c r="F29" i="29" s="1"/>
  <c r="E30" i="29"/>
  <c r="F30" i="29" s="1"/>
  <c r="C14" i="28"/>
  <c r="E14" i="28" s="1"/>
  <c r="F14" i="28" s="1"/>
  <c r="C15" i="28"/>
  <c r="E15" i="28" s="1"/>
  <c r="F15" i="28" s="1"/>
  <c r="C16" i="28"/>
  <c r="E16" i="28" s="1"/>
  <c r="F16" i="28" s="1"/>
  <c r="C17" i="28"/>
  <c r="C13" i="27"/>
  <c r="E13" i="27" s="1"/>
  <c r="F13" i="27" s="1"/>
  <c r="H13" i="27" s="1"/>
  <c r="C14" i="27"/>
  <c r="E14" i="27" s="1"/>
  <c r="F14" i="27" s="1"/>
  <c r="H14" i="27" s="1"/>
  <c r="C15" i="27"/>
  <c r="E15" i="27" s="1"/>
  <c r="F15" i="27" s="1"/>
  <c r="H15" i="27" s="1"/>
  <c r="C16" i="27"/>
  <c r="E16" i="27" s="1"/>
  <c r="F16" i="27" s="1"/>
  <c r="H16" i="27" s="1"/>
  <c r="D18" i="27"/>
  <c r="E19" i="27"/>
  <c r="F19" i="27" s="1"/>
  <c r="H19" i="27" s="1"/>
  <c r="E20" i="27"/>
  <c r="F20" i="27" s="1"/>
  <c r="H20" i="27" s="1"/>
  <c r="C14" i="26"/>
  <c r="E14" i="26" s="1"/>
  <c r="F14" i="26" s="1"/>
  <c r="K14" i="26" s="1"/>
  <c r="C15" i="26"/>
  <c r="E15" i="26" s="1"/>
  <c r="F15" i="26" s="1"/>
  <c r="K15" i="26" s="1"/>
  <c r="C16" i="26"/>
  <c r="E16" i="26" s="1"/>
  <c r="F16" i="26" s="1"/>
  <c r="K16" i="26" s="1"/>
  <c r="C17" i="26"/>
  <c r="E17" i="26" s="1"/>
  <c r="F17" i="26" s="1"/>
  <c r="K17" i="26" s="1"/>
  <c r="C18" i="26"/>
  <c r="E18" i="26" s="1"/>
  <c r="F18" i="26" s="1"/>
  <c r="K18" i="26" s="1"/>
  <c r="C17" i="30" l="1"/>
  <c r="C18" i="30" s="1"/>
  <c r="D18" i="30" s="1"/>
  <c r="D28" i="30" s="1"/>
  <c r="C42" i="42"/>
  <c r="K41" i="42"/>
  <c r="M40" i="42"/>
  <c r="C17" i="32"/>
  <c r="E17" i="32" s="1"/>
  <c r="F17" i="32" s="1"/>
  <c r="H17" i="32" s="1"/>
  <c r="D39" i="31"/>
  <c r="D34" i="31"/>
  <c r="D28" i="31"/>
  <c r="D27" i="31"/>
  <c r="D38" i="31"/>
  <c r="D31" i="31"/>
  <c r="D26" i="31"/>
  <c r="D41" i="31"/>
  <c r="D36" i="31"/>
  <c r="D24" i="31"/>
  <c r="C17" i="31"/>
  <c r="C18" i="31" s="1"/>
  <c r="C19" i="31" s="1"/>
  <c r="H16" i="28"/>
  <c r="L20" i="31"/>
  <c r="F16" i="31"/>
  <c r="F16" i="30"/>
  <c r="L19" i="30"/>
  <c r="L20" i="30"/>
  <c r="H30" i="29"/>
  <c r="D43" i="31"/>
  <c r="D40" i="31"/>
  <c r="D37" i="31"/>
  <c r="D30" i="31"/>
  <c r="C17" i="27"/>
  <c r="D33" i="31"/>
  <c r="C17" i="29"/>
  <c r="C18" i="29" s="1"/>
  <c r="D18" i="29" s="1"/>
  <c r="F18" i="29" s="1"/>
  <c r="H18" i="29" s="1"/>
  <c r="H27" i="29"/>
  <c r="D42" i="31"/>
  <c r="D32" i="31"/>
  <c r="D29" i="31"/>
  <c r="D35" i="31"/>
  <c r="D25" i="31"/>
  <c r="H23" i="29"/>
  <c r="G15" i="26"/>
  <c r="H15" i="26" s="1"/>
  <c r="H20" i="29"/>
  <c r="H29" i="29"/>
  <c r="H25" i="29"/>
  <c r="H22" i="29"/>
  <c r="H19" i="29"/>
  <c r="H16" i="29"/>
  <c r="H21" i="29"/>
  <c r="H26" i="29"/>
  <c r="H17" i="29"/>
  <c r="H28" i="29"/>
  <c r="H24" i="29"/>
  <c r="G30" i="26"/>
  <c r="G28" i="26"/>
  <c r="G26" i="26"/>
  <c r="G24" i="26"/>
  <c r="G22" i="26"/>
  <c r="G20" i="26"/>
  <c r="G18" i="26"/>
  <c r="H18" i="26" s="1"/>
  <c r="G16" i="26"/>
  <c r="H16" i="26" s="1"/>
  <c r="G14" i="26"/>
  <c r="H14" i="26" s="1"/>
  <c r="H15" i="29"/>
  <c r="G31" i="26"/>
  <c r="G29" i="26"/>
  <c r="G27" i="26"/>
  <c r="G25" i="26"/>
  <c r="G23" i="26"/>
  <c r="G21" i="26"/>
  <c r="G19" i="26"/>
  <c r="G17" i="26"/>
  <c r="H17" i="26" s="1"/>
  <c r="J17" i="29"/>
  <c r="H14" i="29"/>
  <c r="H15" i="28"/>
  <c r="F13" i="29"/>
  <c r="J18" i="29"/>
  <c r="H14" i="28"/>
  <c r="H13" i="32"/>
  <c r="H15" i="32"/>
  <c r="H16" i="32"/>
  <c r="H14" i="32"/>
  <c r="C19" i="26"/>
  <c r="E17" i="28"/>
  <c r="F17" i="28" s="1"/>
  <c r="C18" i="28"/>
  <c r="L17" i="33"/>
  <c r="E13" i="30"/>
  <c r="F13" i="30" s="1"/>
  <c r="E13" i="33"/>
  <c r="F13" i="33" s="1"/>
  <c r="C17" i="34"/>
  <c r="M17" i="34" s="1"/>
  <c r="C18" i="32" l="1"/>
  <c r="D24" i="32" s="1"/>
  <c r="J32" i="29"/>
  <c r="C43" i="42"/>
  <c r="M41" i="42"/>
  <c r="K42" i="42"/>
  <c r="M17" i="33"/>
  <c r="L18" i="33"/>
  <c r="L19" i="33" s="1"/>
  <c r="L20" i="33" s="1"/>
  <c r="L21" i="33" s="1"/>
  <c r="N17" i="34"/>
  <c r="O17" i="34" s="1"/>
  <c r="G14" i="34"/>
  <c r="H14" i="34" s="1"/>
  <c r="G22" i="34"/>
  <c r="G30" i="34"/>
  <c r="G38" i="34"/>
  <c r="G18" i="34"/>
  <c r="H18" i="34" s="1"/>
  <c r="G15" i="34"/>
  <c r="H15" i="34" s="1"/>
  <c r="G23" i="34"/>
  <c r="G31" i="34"/>
  <c r="G39" i="34"/>
  <c r="G34" i="34"/>
  <c r="G35" i="34"/>
  <c r="G20" i="34"/>
  <c r="H20" i="34" s="1"/>
  <c r="G29" i="34"/>
  <c r="G16" i="34"/>
  <c r="H16" i="34" s="1"/>
  <c r="G24" i="34"/>
  <c r="G32" i="34"/>
  <c r="G40" i="34"/>
  <c r="G26" i="34"/>
  <c r="G37" i="34"/>
  <c r="G17" i="34"/>
  <c r="H17" i="34" s="1"/>
  <c r="G25" i="34"/>
  <c r="G33" i="34"/>
  <c r="G13" i="34"/>
  <c r="H13" i="34" s="1"/>
  <c r="G21" i="34"/>
  <c r="H21" i="34" s="1"/>
  <c r="G19" i="34"/>
  <c r="H19" i="34" s="1"/>
  <c r="G27" i="34"/>
  <c r="G28" i="34"/>
  <c r="G36" i="34"/>
  <c r="D27" i="30"/>
  <c r="D30" i="30"/>
  <c r="D26" i="30"/>
  <c r="C18" i="27"/>
  <c r="E18" i="27" s="1"/>
  <c r="F18" i="27" s="1"/>
  <c r="H18" i="27" s="1"/>
  <c r="E17" i="27"/>
  <c r="F17" i="27" s="1"/>
  <c r="H17" i="27" s="1"/>
  <c r="H18" i="31"/>
  <c r="N20" i="31"/>
  <c r="O20" i="31" s="1"/>
  <c r="L21" i="31"/>
  <c r="H13" i="31"/>
  <c r="N20" i="30"/>
  <c r="O20" i="30" s="1"/>
  <c r="P20" i="30" s="1"/>
  <c r="L21" i="30"/>
  <c r="H17" i="31"/>
  <c r="H14" i="31"/>
  <c r="H15" i="31"/>
  <c r="H16" i="31"/>
  <c r="E19" i="31"/>
  <c r="F19" i="31" s="1"/>
  <c r="C20" i="31"/>
  <c r="E18" i="28"/>
  <c r="F18" i="28" s="1"/>
  <c r="C19" i="28"/>
  <c r="C18" i="34"/>
  <c r="H17" i="28"/>
  <c r="H15" i="30"/>
  <c r="H14" i="30"/>
  <c r="H16" i="30"/>
  <c r="H13" i="29"/>
  <c r="H32" i="29" s="1"/>
  <c r="H34" i="29" s="1"/>
  <c r="H40" i="29" s="1"/>
  <c r="B47" i="29" s="1"/>
  <c r="E19" i="26"/>
  <c r="F19" i="26" s="1"/>
  <c r="K19" i="26" s="1"/>
  <c r="C20" i="26"/>
  <c r="H13" i="30"/>
  <c r="H15" i="33"/>
  <c r="H17" i="33"/>
  <c r="H19" i="33"/>
  <c r="H21" i="33"/>
  <c r="H14" i="33"/>
  <c r="H13" i="33"/>
  <c r="H18" i="33"/>
  <c r="H16" i="33"/>
  <c r="H20" i="33"/>
  <c r="F18" i="30"/>
  <c r="D32" i="30"/>
  <c r="D24" i="30"/>
  <c r="D31" i="30"/>
  <c r="D36" i="30"/>
  <c r="D25" i="30"/>
  <c r="D29" i="30"/>
  <c r="D33" i="30"/>
  <c r="D34" i="30"/>
  <c r="C19" i="30"/>
  <c r="D35" i="30"/>
  <c r="E21" i="27"/>
  <c r="F21" i="27" s="1"/>
  <c r="H21" i="27" s="1"/>
  <c r="L18" i="34" l="1"/>
  <c r="M18" i="34"/>
  <c r="M18" i="33"/>
  <c r="M19" i="33" s="1"/>
  <c r="M20" i="33" s="1"/>
  <c r="M21" i="33" s="1"/>
  <c r="D19" i="32"/>
  <c r="D18" i="32"/>
  <c r="C19" i="32" s="1"/>
  <c r="D22" i="32"/>
  <c r="D26" i="32"/>
  <c r="D25" i="32"/>
  <c r="D20" i="32"/>
  <c r="E18" i="32"/>
  <c r="D23" i="32"/>
  <c r="D21" i="32"/>
  <c r="B49" i="29"/>
  <c r="B48" i="29"/>
  <c r="M42" i="42"/>
  <c r="K43" i="42"/>
  <c r="M43" i="42" s="1"/>
  <c r="C44" i="42"/>
  <c r="P20" i="31"/>
  <c r="L22" i="30"/>
  <c r="N21" i="30"/>
  <c r="O21" i="30" s="1"/>
  <c r="P21" i="30" s="1"/>
  <c r="N21" i="31"/>
  <c r="O21" i="31" s="1"/>
  <c r="L22" i="31"/>
  <c r="E22" i="27"/>
  <c r="F22" i="27" s="1"/>
  <c r="H22" i="27" s="1"/>
  <c r="H17" i="30"/>
  <c r="H19" i="31"/>
  <c r="C19" i="34"/>
  <c r="H18" i="28"/>
  <c r="D19" i="28"/>
  <c r="C20" i="28" s="1"/>
  <c r="E19" i="28"/>
  <c r="C20" i="30"/>
  <c r="E19" i="30"/>
  <c r="F19" i="30" s="1"/>
  <c r="E20" i="26"/>
  <c r="F20" i="26" s="1"/>
  <c r="K20" i="26" s="1"/>
  <c r="C21" i="26"/>
  <c r="H18" i="30"/>
  <c r="H19" i="26"/>
  <c r="E20" i="31"/>
  <c r="F20" i="31" s="1"/>
  <c r="C21" i="31"/>
  <c r="L19" i="34" l="1"/>
  <c r="M19" i="34"/>
  <c r="F18" i="32"/>
  <c r="C20" i="32"/>
  <c r="E20" i="32" s="1"/>
  <c r="F20" i="32" s="1"/>
  <c r="H20" i="32" s="1"/>
  <c r="E19" i="32"/>
  <c r="F19" i="32" s="1"/>
  <c r="H19" i="32" s="1"/>
  <c r="C45" i="42"/>
  <c r="K44" i="42"/>
  <c r="N18" i="34"/>
  <c r="O18" i="34" s="1"/>
  <c r="P21" i="31"/>
  <c r="H18" i="32"/>
  <c r="L23" i="31"/>
  <c r="N22" i="31"/>
  <c r="O22" i="31" s="1"/>
  <c r="P22" i="31" s="1"/>
  <c r="N22" i="30"/>
  <c r="O22" i="30" s="1"/>
  <c r="P22" i="30" s="1"/>
  <c r="L23" i="30"/>
  <c r="E20" i="28"/>
  <c r="F20" i="28" s="1"/>
  <c r="C21" i="28"/>
  <c r="H20" i="31"/>
  <c r="C20" i="34"/>
  <c r="L20" i="34" s="1"/>
  <c r="H19" i="30"/>
  <c r="H20" i="26"/>
  <c r="C22" i="31"/>
  <c r="E21" i="31"/>
  <c r="F21" i="31" s="1"/>
  <c r="E21" i="26"/>
  <c r="F21" i="26" s="1"/>
  <c r="K21" i="26" s="1"/>
  <c r="C22" i="26"/>
  <c r="C21" i="30"/>
  <c r="E20" i="30"/>
  <c r="F20" i="30" s="1"/>
  <c r="F19" i="28"/>
  <c r="D25" i="28"/>
  <c r="D27" i="28"/>
  <c r="D29" i="28"/>
  <c r="D31" i="28"/>
  <c r="D30" i="28"/>
  <c r="D37" i="28"/>
  <c r="D32" i="28"/>
  <c r="D33" i="28"/>
  <c r="D34" i="28"/>
  <c r="D35" i="28"/>
  <c r="D28" i="28"/>
  <c r="D26" i="28"/>
  <c r="D36" i="28"/>
  <c r="E23" i="27"/>
  <c r="F23" i="27" s="1"/>
  <c r="H23" i="27" s="1"/>
  <c r="N19" i="34" l="1"/>
  <c r="M20" i="34"/>
  <c r="C21" i="32"/>
  <c r="E21" i="32" s="1"/>
  <c r="F21" i="32" s="1"/>
  <c r="H21" i="32" s="1"/>
  <c r="K45" i="42"/>
  <c r="M44" i="42"/>
  <c r="C46" i="42"/>
  <c r="N20" i="34"/>
  <c r="O19" i="34"/>
  <c r="N23" i="30"/>
  <c r="O23" i="30" s="1"/>
  <c r="P23" i="30" s="1"/>
  <c r="L24" i="30"/>
  <c r="N23" i="31"/>
  <c r="O23" i="31" s="1"/>
  <c r="P23" i="31" s="1"/>
  <c r="M41" i="31"/>
  <c r="M38" i="31"/>
  <c r="M29" i="31"/>
  <c r="M30" i="31"/>
  <c r="M42" i="31"/>
  <c r="M26" i="31"/>
  <c r="M37" i="31"/>
  <c r="M34" i="31"/>
  <c r="M39" i="31"/>
  <c r="M40" i="31"/>
  <c r="M25" i="31"/>
  <c r="M43" i="31"/>
  <c r="L24" i="31"/>
  <c r="M32" i="31"/>
  <c r="M28" i="31"/>
  <c r="M35" i="31"/>
  <c r="M33" i="31"/>
  <c r="M27" i="31"/>
  <c r="M36" i="31"/>
  <c r="M31" i="31"/>
  <c r="H19" i="28"/>
  <c r="H21" i="26"/>
  <c r="H21" i="31"/>
  <c r="H20" i="28"/>
  <c r="H20" i="30"/>
  <c r="C23" i="31"/>
  <c r="E22" i="31"/>
  <c r="F22" i="31" s="1"/>
  <c r="E24" i="27"/>
  <c r="F24" i="27" s="1"/>
  <c r="H24" i="27" s="1"/>
  <c r="C22" i="30"/>
  <c r="E21" i="30"/>
  <c r="F21" i="30" s="1"/>
  <c r="J19" i="27"/>
  <c r="C21" i="34"/>
  <c r="E22" i="26"/>
  <c r="F22" i="26" s="1"/>
  <c r="K22" i="26" s="1"/>
  <c r="C23" i="26"/>
  <c r="E21" i="28"/>
  <c r="F21" i="28" s="1"/>
  <c r="C22" i="28"/>
  <c r="L21" i="34" l="1"/>
  <c r="M21" i="34"/>
  <c r="C22" i="32"/>
  <c r="E22" i="32" s="1"/>
  <c r="F22" i="32" s="1"/>
  <c r="H22" i="32" s="1"/>
  <c r="N20" i="28"/>
  <c r="C47" i="42"/>
  <c r="M45" i="42"/>
  <c r="K46" i="42"/>
  <c r="O20" i="34"/>
  <c r="N24" i="31"/>
  <c r="O24" i="31" s="1"/>
  <c r="P24" i="31" s="1"/>
  <c r="L25" i="31"/>
  <c r="M25" i="30"/>
  <c r="M32" i="30"/>
  <c r="M27" i="30"/>
  <c r="M29" i="30"/>
  <c r="M36" i="30"/>
  <c r="M30" i="30"/>
  <c r="M26" i="30"/>
  <c r="M33" i="30"/>
  <c r="L25" i="30"/>
  <c r="M31" i="30"/>
  <c r="M28" i="30"/>
  <c r="M34" i="30"/>
  <c r="N24" i="30"/>
  <c r="O24" i="30" s="1"/>
  <c r="P24" i="30" s="1"/>
  <c r="M35" i="30"/>
  <c r="E23" i="26"/>
  <c r="F23" i="26" s="1"/>
  <c r="K23" i="26" s="1"/>
  <c r="C24" i="26"/>
  <c r="E23" i="31"/>
  <c r="F23" i="31" s="1"/>
  <c r="C24" i="31"/>
  <c r="E22" i="33"/>
  <c r="F22" i="33" s="1"/>
  <c r="H22" i="26"/>
  <c r="C22" i="34"/>
  <c r="H21" i="30"/>
  <c r="E25" i="27"/>
  <c r="F25" i="27" s="1"/>
  <c r="H25" i="27" s="1"/>
  <c r="J20" i="27"/>
  <c r="E22" i="28"/>
  <c r="F22" i="28" s="1"/>
  <c r="C23" i="28"/>
  <c r="E22" i="30"/>
  <c r="F22" i="30" s="1"/>
  <c r="C23" i="30"/>
  <c r="H21" i="28"/>
  <c r="H22" i="31"/>
  <c r="N21" i="34" l="1"/>
  <c r="O21" i="34" s="1"/>
  <c r="Q22" i="34" s="1"/>
  <c r="C23" i="32"/>
  <c r="E23" i="32" s="1"/>
  <c r="F23" i="32" s="1"/>
  <c r="C24" i="32"/>
  <c r="E24" i="32" s="1"/>
  <c r="F24" i="32" s="1"/>
  <c r="M46" i="42"/>
  <c r="K47" i="42"/>
  <c r="C48" i="42"/>
  <c r="N25" i="30"/>
  <c r="O25" i="30" s="1"/>
  <c r="P25" i="30" s="1"/>
  <c r="L26" i="30"/>
  <c r="L26" i="31"/>
  <c r="N25" i="31"/>
  <c r="O25" i="31" s="1"/>
  <c r="P25" i="31" s="1"/>
  <c r="H22" i="28"/>
  <c r="E26" i="27"/>
  <c r="F26" i="27" s="1"/>
  <c r="H26" i="27" s="1"/>
  <c r="E24" i="31"/>
  <c r="F24" i="31" s="1"/>
  <c r="C25" i="31"/>
  <c r="E23" i="33"/>
  <c r="F23" i="33" s="1"/>
  <c r="N21" i="28"/>
  <c r="H23" i="31"/>
  <c r="E24" i="26"/>
  <c r="F24" i="26" s="1"/>
  <c r="K24" i="26" s="1"/>
  <c r="C25" i="26"/>
  <c r="H23" i="32"/>
  <c r="E23" i="30"/>
  <c r="F23" i="30" s="1"/>
  <c r="C24" i="30"/>
  <c r="E22" i="34"/>
  <c r="F22" i="34" s="1"/>
  <c r="C23" i="34"/>
  <c r="H22" i="33"/>
  <c r="H23" i="26"/>
  <c r="H22" i="30"/>
  <c r="E23" i="28"/>
  <c r="F23" i="28" s="1"/>
  <c r="C24" i="28"/>
  <c r="J21" i="27"/>
  <c r="C25" i="32" l="1"/>
  <c r="C26" i="32" s="1"/>
  <c r="C49" i="42"/>
  <c r="K48" i="42"/>
  <c r="M47" i="42"/>
  <c r="N26" i="30"/>
  <c r="O26" i="30" s="1"/>
  <c r="P26" i="30" s="1"/>
  <c r="L27" i="30"/>
  <c r="N26" i="31"/>
  <c r="O26" i="31" s="1"/>
  <c r="P26" i="31" s="1"/>
  <c r="L27" i="31"/>
  <c r="N22" i="28"/>
  <c r="J22" i="27"/>
  <c r="H24" i="26"/>
  <c r="E24" i="33"/>
  <c r="F24" i="33" s="1"/>
  <c r="C26" i="31"/>
  <c r="E25" i="31"/>
  <c r="F25" i="31" s="1"/>
  <c r="E27" i="27"/>
  <c r="F27" i="27" s="1"/>
  <c r="H27" i="27" s="1"/>
  <c r="C24" i="34"/>
  <c r="E23" i="34"/>
  <c r="F23" i="34" s="1"/>
  <c r="H23" i="33"/>
  <c r="H24" i="31"/>
  <c r="E24" i="28"/>
  <c r="F24" i="28" s="1"/>
  <c r="C25" i="28"/>
  <c r="H22" i="34"/>
  <c r="E24" i="30"/>
  <c r="F24" i="30" s="1"/>
  <c r="C25" i="30"/>
  <c r="H23" i="28"/>
  <c r="H24" i="32"/>
  <c r="H23" i="30"/>
  <c r="E25" i="26"/>
  <c r="F25" i="26" s="1"/>
  <c r="K25" i="26" s="1"/>
  <c r="C26" i="26"/>
  <c r="E25" i="32" l="1"/>
  <c r="F25" i="32" s="1"/>
  <c r="H25" i="32" s="1"/>
  <c r="K49" i="42"/>
  <c r="M48" i="42"/>
  <c r="C50" i="42"/>
  <c r="N27" i="30"/>
  <c r="O27" i="30" s="1"/>
  <c r="P27" i="30" s="1"/>
  <c r="L28" i="30"/>
  <c r="N27" i="31"/>
  <c r="O27" i="31" s="1"/>
  <c r="P27" i="31" s="1"/>
  <c r="L28" i="31"/>
  <c r="H25" i="26"/>
  <c r="H24" i="28"/>
  <c r="H23" i="34"/>
  <c r="E28" i="27"/>
  <c r="F28" i="27" s="1"/>
  <c r="H28" i="27" s="1"/>
  <c r="H24" i="33"/>
  <c r="S22" i="34"/>
  <c r="Q23" i="34"/>
  <c r="E24" i="34"/>
  <c r="F24" i="34" s="1"/>
  <c r="C25" i="34"/>
  <c r="E25" i="33"/>
  <c r="F25" i="33" s="1"/>
  <c r="N23" i="28"/>
  <c r="E25" i="30"/>
  <c r="F25" i="30" s="1"/>
  <c r="C26" i="30"/>
  <c r="E26" i="32"/>
  <c r="F26" i="32" s="1"/>
  <c r="C27" i="32"/>
  <c r="H25" i="31"/>
  <c r="J23" i="27"/>
  <c r="E26" i="26"/>
  <c r="F26" i="26" s="1"/>
  <c r="K26" i="26" s="1"/>
  <c r="C27" i="26"/>
  <c r="H24" i="30"/>
  <c r="E25" i="28"/>
  <c r="F25" i="28" s="1"/>
  <c r="C26" i="28"/>
  <c r="C27" i="31"/>
  <c r="E26" i="31"/>
  <c r="F26" i="31" s="1"/>
  <c r="C51" i="42" l="1"/>
  <c r="K50" i="42"/>
  <c r="M49" i="42"/>
  <c r="L29" i="31"/>
  <c r="N28" i="31"/>
  <c r="O28" i="31" s="1"/>
  <c r="P28" i="31" s="1"/>
  <c r="L29" i="30"/>
  <c r="N28" i="30"/>
  <c r="O28" i="30" s="1"/>
  <c r="P28" i="30" s="1"/>
  <c r="N24" i="28"/>
  <c r="H25" i="28"/>
  <c r="E27" i="26"/>
  <c r="F27" i="26" s="1"/>
  <c r="K27" i="26" s="1"/>
  <c r="C28" i="26"/>
  <c r="E26" i="33"/>
  <c r="F26" i="33" s="1"/>
  <c r="E25" i="34"/>
  <c r="F25" i="34" s="1"/>
  <c r="C26" i="34"/>
  <c r="S23" i="34"/>
  <c r="T23" i="34" s="1"/>
  <c r="U23" i="34" s="1"/>
  <c r="Q24" i="34"/>
  <c r="H26" i="26"/>
  <c r="H24" i="34"/>
  <c r="T22" i="34"/>
  <c r="U22" i="34" s="1"/>
  <c r="H26" i="31"/>
  <c r="E27" i="32"/>
  <c r="F27" i="32" s="1"/>
  <c r="C28" i="32"/>
  <c r="C27" i="30"/>
  <c r="E26" i="30"/>
  <c r="F26" i="30" s="1"/>
  <c r="J24" i="27"/>
  <c r="C28" i="31"/>
  <c r="E27" i="31"/>
  <c r="F27" i="31" s="1"/>
  <c r="E26" i="28"/>
  <c r="F26" i="28" s="1"/>
  <c r="C27" i="28"/>
  <c r="H26" i="32"/>
  <c r="H25" i="30"/>
  <c r="H25" i="33"/>
  <c r="E30" i="27"/>
  <c r="F30" i="27" s="1"/>
  <c r="H30" i="27" s="1"/>
  <c r="H32" i="27" s="1"/>
  <c r="E29" i="27"/>
  <c r="F29" i="27" s="1"/>
  <c r="H29" i="27" s="1"/>
  <c r="C52" i="42" l="1"/>
  <c r="M50" i="42"/>
  <c r="K51" i="42"/>
  <c r="L30" i="30"/>
  <c r="N29" i="30"/>
  <c r="O29" i="30" s="1"/>
  <c r="P29" i="30" s="1"/>
  <c r="N29" i="31"/>
  <c r="O29" i="31" s="1"/>
  <c r="P29" i="31" s="1"/>
  <c r="L30" i="31"/>
  <c r="N25" i="28"/>
  <c r="E28" i="31"/>
  <c r="F28" i="31" s="1"/>
  <c r="C29" i="31"/>
  <c r="H27" i="32"/>
  <c r="N27" i="32" s="1"/>
  <c r="H25" i="34"/>
  <c r="E27" i="28"/>
  <c r="F27" i="28" s="1"/>
  <c r="C28" i="28"/>
  <c r="H26" i="30"/>
  <c r="E27" i="33"/>
  <c r="F27" i="33" s="1"/>
  <c r="H26" i="28"/>
  <c r="C28" i="30"/>
  <c r="E27" i="30"/>
  <c r="F27" i="30" s="1"/>
  <c r="H26" i="33"/>
  <c r="E28" i="26"/>
  <c r="F28" i="26" s="1"/>
  <c r="K28" i="26" s="1"/>
  <c r="C29" i="26"/>
  <c r="H27" i="31"/>
  <c r="E28" i="32"/>
  <c r="F28" i="32" s="1"/>
  <c r="C29" i="32"/>
  <c r="J25" i="27"/>
  <c r="S24" i="34"/>
  <c r="Q25" i="34"/>
  <c r="R29" i="34"/>
  <c r="R33" i="34"/>
  <c r="R37" i="34"/>
  <c r="R30" i="34"/>
  <c r="R34" i="34"/>
  <c r="R38" i="34"/>
  <c r="R35" i="34"/>
  <c r="R32" i="34"/>
  <c r="R40" i="34"/>
  <c r="R28" i="34"/>
  <c r="R31" i="34"/>
  <c r="R36" i="34"/>
  <c r="R39" i="34"/>
  <c r="C27" i="34"/>
  <c r="E26" i="34"/>
  <c r="F26" i="34" s="1"/>
  <c r="H27" i="26"/>
  <c r="K52" i="42" l="1"/>
  <c r="M51" i="42"/>
  <c r="C53" i="42"/>
  <c r="L31" i="30"/>
  <c r="N30" i="30"/>
  <c r="O30" i="30" s="1"/>
  <c r="P30" i="30" s="1"/>
  <c r="N30" i="31"/>
  <c r="O30" i="31" s="1"/>
  <c r="P30" i="31" s="1"/>
  <c r="L31" i="31"/>
  <c r="T24" i="34"/>
  <c r="U24" i="34" s="1"/>
  <c r="H27" i="30"/>
  <c r="E28" i="33"/>
  <c r="F28" i="33" s="1"/>
  <c r="E28" i="28"/>
  <c r="F28" i="28" s="1"/>
  <c r="C29" i="28"/>
  <c r="C28" i="34"/>
  <c r="E27" i="34"/>
  <c r="F27" i="34" s="1"/>
  <c r="J26" i="27"/>
  <c r="E29" i="32"/>
  <c r="F29" i="32" s="1"/>
  <c r="C30" i="32"/>
  <c r="E29" i="26"/>
  <c r="F29" i="26" s="1"/>
  <c r="K29" i="26" s="1"/>
  <c r="C30" i="26"/>
  <c r="C29" i="30"/>
  <c r="E28" i="30"/>
  <c r="F28" i="30" s="1"/>
  <c r="H27" i="33"/>
  <c r="H27" i="28"/>
  <c r="C30" i="31"/>
  <c r="E29" i="31"/>
  <c r="F29" i="31" s="1"/>
  <c r="H26" i="34"/>
  <c r="H28" i="32"/>
  <c r="N28" i="32" s="1"/>
  <c r="H28" i="26"/>
  <c r="H28" i="31"/>
  <c r="S25" i="34"/>
  <c r="T25" i="34" s="1"/>
  <c r="U25" i="34" s="1"/>
  <c r="Q26" i="34"/>
  <c r="N26" i="28"/>
  <c r="C54" i="42" l="1"/>
  <c r="K53" i="42"/>
  <c r="M52" i="42"/>
  <c r="L32" i="31"/>
  <c r="N31" i="31"/>
  <c r="O31" i="31" s="1"/>
  <c r="P31" i="31" s="1"/>
  <c r="N31" i="30"/>
  <c r="O31" i="30" s="1"/>
  <c r="P31" i="30" s="1"/>
  <c r="L32" i="30"/>
  <c r="E30" i="26"/>
  <c r="F30" i="26" s="1"/>
  <c r="K30" i="26" s="1"/>
  <c r="C31" i="26"/>
  <c r="H27" i="34"/>
  <c r="E29" i="33"/>
  <c r="F29" i="33" s="1"/>
  <c r="J27" i="27"/>
  <c r="H29" i="31"/>
  <c r="H29" i="26"/>
  <c r="C29" i="34"/>
  <c r="E28" i="34"/>
  <c r="F28" i="34" s="1"/>
  <c r="H28" i="33"/>
  <c r="N27" i="28"/>
  <c r="S26" i="34"/>
  <c r="T26" i="34" s="1"/>
  <c r="U26" i="34" s="1"/>
  <c r="Q27" i="34"/>
  <c r="C31" i="31"/>
  <c r="E30" i="31"/>
  <c r="F30" i="31" s="1"/>
  <c r="H28" i="30"/>
  <c r="E30" i="32"/>
  <c r="F30" i="32" s="1"/>
  <c r="C31" i="32"/>
  <c r="D31" i="32"/>
  <c r="D33" i="32"/>
  <c r="D32" i="32"/>
  <c r="E29" i="28"/>
  <c r="F29" i="28" s="1"/>
  <c r="C30" i="28"/>
  <c r="E29" i="30"/>
  <c r="F29" i="30" s="1"/>
  <c r="C30" i="30"/>
  <c r="H29" i="32"/>
  <c r="N29" i="32" s="1"/>
  <c r="H28" i="28"/>
  <c r="M53" i="42" l="1"/>
  <c r="K54" i="42"/>
  <c r="C55" i="42"/>
  <c r="N32" i="30"/>
  <c r="O32" i="30" s="1"/>
  <c r="P32" i="30" s="1"/>
  <c r="L33" i="30"/>
  <c r="L33" i="31"/>
  <c r="N32" i="31"/>
  <c r="O32" i="31" s="1"/>
  <c r="P32" i="31" s="1"/>
  <c r="H29" i="30"/>
  <c r="C30" i="34"/>
  <c r="E29" i="34"/>
  <c r="F29" i="34" s="1"/>
  <c r="H30" i="26"/>
  <c r="E30" i="28"/>
  <c r="F30" i="28" s="1"/>
  <c r="C31" i="28"/>
  <c r="H30" i="31"/>
  <c r="S27" i="34"/>
  <c r="T27" i="34" s="1"/>
  <c r="U27" i="34" s="1"/>
  <c r="Q28" i="34"/>
  <c r="J28" i="27"/>
  <c r="H29" i="33"/>
  <c r="N28" i="28"/>
  <c r="H29" i="28"/>
  <c r="E31" i="32"/>
  <c r="F31" i="32" s="1"/>
  <c r="C32" i="32"/>
  <c r="E31" i="31"/>
  <c r="F31" i="31" s="1"/>
  <c r="C32" i="31"/>
  <c r="E30" i="33"/>
  <c r="F30" i="33" s="1"/>
  <c r="E30" i="30"/>
  <c r="F30" i="30" s="1"/>
  <c r="C31" i="30"/>
  <c r="H30" i="32"/>
  <c r="N30" i="32" s="1"/>
  <c r="H28" i="34"/>
  <c r="E31" i="26"/>
  <c r="F31" i="26" s="1"/>
  <c r="K31" i="26" s="1"/>
  <c r="C56" i="42" l="1"/>
  <c r="M54" i="42"/>
  <c r="K55" i="42"/>
  <c r="N33" i="30"/>
  <c r="O33" i="30" s="1"/>
  <c r="P33" i="30" s="1"/>
  <c r="L34" i="30"/>
  <c r="L34" i="31"/>
  <c r="N33" i="31"/>
  <c r="O33" i="31" s="1"/>
  <c r="P33" i="31" s="1"/>
  <c r="H31" i="32"/>
  <c r="N31" i="32" s="1"/>
  <c r="H30" i="30"/>
  <c r="H31" i="31"/>
  <c r="H30" i="28"/>
  <c r="J29" i="27"/>
  <c r="H29" i="34"/>
  <c r="E32" i="32"/>
  <c r="F32" i="32" s="1"/>
  <c r="C33" i="32"/>
  <c r="E33" i="32" s="1"/>
  <c r="F33" i="32" s="1"/>
  <c r="S28" i="34"/>
  <c r="Q29" i="34"/>
  <c r="E30" i="34"/>
  <c r="F30" i="34" s="1"/>
  <c r="C31" i="34"/>
  <c r="H31" i="26"/>
  <c r="E31" i="30"/>
  <c r="F31" i="30" s="1"/>
  <c r="C32" i="30"/>
  <c r="H30" i="33"/>
  <c r="E32" i="31"/>
  <c r="F32" i="31" s="1"/>
  <c r="C33" i="31"/>
  <c r="E31" i="28"/>
  <c r="F31" i="28" s="1"/>
  <c r="C32" i="28"/>
  <c r="N29" i="28"/>
  <c r="K56" i="42" l="1"/>
  <c r="M55" i="42"/>
  <c r="C57" i="42"/>
  <c r="N34" i="31"/>
  <c r="O34" i="31" s="1"/>
  <c r="P34" i="31" s="1"/>
  <c r="L35" i="31"/>
  <c r="L35" i="30"/>
  <c r="N34" i="30"/>
  <c r="O34" i="30" s="1"/>
  <c r="P34" i="30" s="1"/>
  <c r="N30" i="28"/>
  <c r="H31" i="30"/>
  <c r="J30" i="27"/>
  <c r="H33" i="26"/>
  <c r="Q30" i="34"/>
  <c r="S29" i="34"/>
  <c r="T29" i="34" s="1"/>
  <c r="U29" i="34" s="1"/>
  <c r="E32" i="28"/>
  <c r="F32" i="28" s="1"/>
  <c r="C33" i="28"/>
  <c r="T28" i="34"/>
  <c r="U28" i="34" s="1"/>
  <c r="H31" i="28"/>
  <c r="C34" i="31"/>
  <c r="E33" i="31"/>
  <c r="F33" i="31" s="1"/>
  <c r="C32" i="34"/>
  <c r="E31" i="34"/>
  <c r="F31" i="34" s="1"/>
  <c r="H33" i="32"/>
  <c r="H32" i="31"/>
  <c r="C33" i="30"/>
  <c r="E32" i="30"/>
  <c r="F32" i="30" s="1"/>
  <c r="H30" i="34"/>
  <c r="H32" i="32"/>
  <c r="N32" i="32" s="1"/>
  <c r="K57" i="42" l="1"/>
  <c r="M56" i="42"/>
  <c r="C58" i="42"/>
  <c r="N33" i="32"/>
  <c r="N41" i="32" s="1"/>
  <c r="H35" i="32"/>
  <c r="H37" i="32" s="1"/>
  <c r="H41" i="32" s="1"/>
  <c r="B49" i="32" s="1"/>
  <c r="J39" i="27"/>
  <c r="L36" i="30"/>
  <c r="N36" i="30" s="1"/>
  <c r="O36" i="30" s="1"/>
  <c r="P36" i="30" s="1"/>
  <c r="N35" i="30"/>
  <c r="O35" i="30" s="1"/>
  <c r="P35" i="30" s="1"/>
  <c r="N35" i="31"/>
  <c r="O35" i="31" s="1"/>
  <c r="P35" i="31" s="1"/>
  <c r="L36" i="31"/>
  <c r="H33" i="31"/>
  <c r="E33" i="28"/>
  <c r="F33" i="28" s="1"/>
  <c r="C34" i="28"/>
  <c r="Q31" i="34"/>
  <c r="S30" i="34"/>
  <c r="T30" i="34" s="1"/>
  <c r="U30" i="34" s="1"/>
  <c r="H34" i="26"/>
  <c r="H37" i="27" s="1"/>
  <c r="H39" i="27" s="1"/>
  <c r="H36" i="26"/>
  <c r="H32" i="30"/>
  <c r="H31" i="34"/>
  <c r="C35" i="31"/>
  <c r="E34" i="31"/>
  <c r="F34" i="31" s="1"/>
  <c r="H32" i="28"/>
  <c r="C34" i="30"/>
  <c r="E33" i="30"/>
  <c r="F33" i="30" s="1"/>
  <c r="C33" i="34"/>
  <c r="E32" i="34"/>
  <c r="F32" i="34" s="1"/>
  <c r="N31" i="28"/>
  <c r="B45" i="27" l="1"/>
  <c r="J40" i="29"/>
  <c r="B51" i="32"/>
  <c r="B50" i="32"/>
  <c r="T12" i="28"/>
  <c r="H43" i="30"/>
  <c r="B44" i="27"/>
  <c r="B47" i="27" s="1"/>
  <c r="M57" i="42"/>
  <c r="K58" i="42"/>
  <c r="C59" i="42"/>
  <c r="L37" i="31"/>
  <c r="N36" i="31"/>
  <c r="O36" i="31" s="1"/>
  <c r="P36" i="31" s="1"/>
  <c r="P38" i="30"/>
  <c r="H33" i="30"/>
  <c r="H34" i="31"/>
  <c r="Q32" i="34"/>
  <c r="S31" i="34"/>
  <c r="T31" i="34" s="1"/>
  <c r="U31" i="34" s="1"/>
  <c r="C35" i="30"/>
  <c r="E34" i="30"/>
  <c r="F34" i="30" s="1"/>
  <c r="C36" i="31"/>
  <c r="E35" i="31"/>
  <c r="F35" i="31" s="1"/>
  <c r="E34" i="28"/>
  <c r="F34" i="28" s="1"/>
  <c r="C35" i="28"/>
  <c r="H32" i="34"/>
  <c r="N32" i="28"/>
  <c r="H33" i="28"/>
  <c r="E33" i="34"/>
  <c r="F33" i="34" s="1"/>
  <c r="C34" i="34"/>
  <c r="H44" i="30" l="1"/>
  <c r="M58" i="42"/>
  <c r="K59" i="42"/>
  <c r="L38" i="31"/>
  <c r="N37" i="31"/>
  <c r="O37" i="31" s="1"/>
  <c r="P37" i="31" s="1"/>
  <c r="C36" i="28"/>
  <c r="E35" i="28"/>
  <c r="F35" i="28" s="1"/>
  <c r="H34" i="30"/>
  <c r="E34" i="34"/>
  <c r="F34" i="34" s="1"/>
  <c r="C35" i="34"/>
  <c r="H34" i="28"/>
  <c r="E35" i="30"/>
  <c r="F35" i="30" s="1"/>
  <c r="C36" i="30"/>
  <c r="E36" i="30" s="1"/>
  <c r="F36" i="30" s="1"/>
  <c r="H33" i="34"/>
  <c r="N33" i="28"/>
  <c r="H35" i="31"/>
  <c r="S32" i="34"/>
  <c r="T32" i="34" s="1"/>
  <c r="U32" i="34" s="1"/>
  <c r="Q33" i="34"/>
  <c r="E36" i="31"/>
  <c r="F36" i="31" s="1"/>
  <c r="C37" i="31"/>
  <c r="B46" i="27" l="1"/>
  <c r="S13" i="27" s="1"/>
  <c r="M59" i="42"/>
  <c r="N38" i="31"/>
  <c r="O38" i="31" s="1"/>
  <c r="P38" i="31" s="1"/>
  <c r="L39" i="31"/>
  <c r="H36" i="31"/>
  <c r="H36" i="30"/>
  <c r="C36" i="34"/>
  <c r="E35" i="34"/>
  <c r="F35" i="34" s="1"/>
  <c r="H35" i="28"/>
  <c r="Q34" i="34"/>
  <c r="S33" i="34"/>
  <c r="T33" i="34" s="1"/>
  <c r="U33" i="34" s="1"/>
  <c r="H35" i="30"/>
  <c r="H34" i="34"/>
  <c r="E36" i="28"/>
  <c r="F36" i="28" s="1"/>
  <c r="C37" i="28"/>
  <c r="E37" i="28" s="1"/>
  <c r="F37" i="28" s="1"/>
  <c r="C38" i="31"/>
  <c r="E37" i="31"/>
  <c r="F37" i="31" s="1"/>
  <c r="N34" i="28"/>
  <c r="AB7" i="42" l="1"/>
  <c r="AB10" i="42" s="1"/>
  <c r="L40" i="31"/>
  <c r="N39" i="31"/>
  <c r="O39" i="31" s="1"/>
  <c r="P39" i="31" s="1"/>
  <c r="H36" i="28"/>
  <c r="N35" i="28"/>
  <c r="H37" i="31"/>
  <c r="Q35" i="34"/>
  <c r="S34" i="34"/>
  <c r="T34" i="34" s="1"/>
  <c r="U34" i="34" s="1"/>
  <c r="H35" i="34"/>
  <c r="H38" i="30"/>
  <c r="H39" i="30" s="1"/>
  <c r="H45" i="30" s="1"/>
  <c r="B51" i="30" s="1"/>
  <c r="C39" i="31"/>
  <c r="E38" i="31"/>
  <c r="F38" i="31" s="1"/>
  <c r="C37" i="34"/>
  <c r="E36" i="34"/>
  <c r="F36" i="34" s="1"/>
  <c r="H37" i="28"/>
  <c r="B53" i="30" l="1"/>
  <c r="B52" i="30"/>
  <c r="H39" i="28"/>
  <c r="H40" i="28" s="1"/>
  <c r="T13" i="28" s="1"/>
  <c r="N44" i="28"/>
  <c r="L41" i="31"/>
  <c r="N40" i="31"/>
  <c r="C38" i="34"/>
  <c r="E37" i="34"/>
  <c r="F37" i="34" s="1"/>
  <c r="E39" i="31"/>
  <c r="F39" i="31" s="1"/>
  <c r="C40" i="31"/>
  <c r="N36" i="28"/>
  <c r="S35" i="34"/>
  <c r="T35" i="34" s="1"/>
  <c r="U35" i="34" s="1"/>
  <c r="Q36" i="34"/>
  <c r="N37" i="28"/>
  <c r="H36" i="34"/>
  <c r="H38" i="31"/>
  <c r="T14" i="28" l="1"/>
  <c r="T15" i="28"/>
  <c r="L42" i="31"/>
  <c r="N41" i="31"/>
  <c r="O41" i="31" s="1"/>
  <c r="P41" i="31" s="1"/>
  <c r="O40" i="31"/>
  <c r="P40" i="31" s="1"/>
  <c r="S36" i="34"/>
  <c r="T36" i="34" s="1"/>
  <c r="U36" i="34" s="1"/>
  <c r="Q37" i="34"/>
  <c r="E38" i="34"/>
  <c r="F38" i="34" s="1"/>
  <c r="C39" i="34"/>
  <c r="E40" i="31"/>
  <c r="F40" i="31" s="1"/>
  <c r="C41" i="31"/>
  <c r="H39" i="31"/>
  <c r="H37" i="34"/>
  <c r="N42" i="31" l="1"/>
  <c r="L43" i="31"/>
  <c r="N43" i="31" s="1"/>
  <c r="O43" i="31" s="1"/>
  <c r="P43" i="31" s="1"/>
  <c r="C40" i="34"/>
  <c r="E40" i="34" s="1"/>
  <c r="F40" i="34" s="1"/>
  <c r="E39" i="34"/>
  <c r="F39" i="34" s="1"/>
  <c r="C42" i="31"/>
  <c r="E41" i="31"/>
  <c r="F41" i="31" s="1"/>
  <c r="H38" i="34"/>
  <c r="H40" i="31"/>
  <c r="Q38" i="34"/>
  <c r="S37" i="34"/>
  <c r="T37" i="34" s="1"/>
  <c r="U37" i="34" s="1"/>
  <c r="O42" i="31" l="1"/>
  <c r="P42" i="31" s="1"/>
  <c r="Q39" i="34"/>
  <c r="S38" i="34"/>
  <c r="T38" i="34" s="1"/>
  <c r="U38" i="34" s="1"/>
  <c r="H41" i="31"/>
  <c r="C43" i="31"/>
  <c r="E43" i="31" s="1"/>
  <c r="F43" i="31" s="1"/>
  <c r="E42" i="31"/>
  <c r="F42" i="31" s="1"/>
  <c r="H39" i="34"/>
  <c r="H40" i="34"/>
  <c r="H42" i="34" s="1"/>
  <c r="H44" i="34" s="1"/>
  <c r="P45" i="31" l="1"/>
  <c r="H53" i="31" s="1"/>
  <c r="H43" i="31"/>
  <c r="Q40" i="34"/>
  <c r="S40" i="34" s="1"/>
  <c r="S39" i="34"/>
  <c r="T39" i="34" s="1"/>
  <c r="U39" i="34" s="1"/>
  <c r="H42" i="31"/>
  <c r="T40" i="34" l="1"/>
  <c r="U40" i="34" s="1"/>
  <c r="U42" i="34" s="1"/>
  <c r="H49" i="34" s="1"/>
  <c r="H45" i="31"/>
  <c r="H47" i="31" l="1"/>
  <c r="H54" i="31" l="1"/>
  <c r="B60" i="31" s="1"/>
  <c r="B58" i="34"/>
  <c r="B59" i="34" s="1"/>
  <c r="B60" i="34" l="1"/>
  <c r="B62" i="31"/>
  <c r="B61" i="31"/>
</calcChain>
</file>

<file path=xl/sharedStrings.xml><?xml version="1.0" encoding="utf-8"?>
<sst xmlns="http://schemas.openxmlformats.org/spreadsheetml/2006/main" count="865" uniqueCount="223">
  <si>
    <t>Ceiling</t>
  </si>
  <si>
    <t>Case 6</t>
  </si>
  <si>
    <t>Case 5</t>
  </si>
  <si>
    <t>Case 4</t>
  </si>
  <si>
    <t>Case 3</t>
  </si>
  <si>
    <t>Case 2</t>
  </si>
  <si>
    <t>Case 1</t>
  </si>
  <si>
    <t>/</t>
  </si>
  <si>
    <t>Risk free interest rate</t>
  </si>
  <si>
    <t>Case 0</t>
  </si>
  <si>
    <t>UMICs</t>
  </si>
  <si>
    <t>LMICs</t>
  </si>
  <si>
    <t>LDCs / LICs</t>
  </si>
  <si>
    <t>eligibilty thresholds</t>
  </si>
  <si>
    <t>discount rates</t>
  </si>
  <si>
    <t>ODA</t>
  </si>
  <si>
    <t>Risk free interest rate for the rescheduled part at date of treatment</t>
  </si>
  <si>
    <t>Paris Club Secretariat Proposal</t>
  </si>
  <si>
    <t>DAC Secretariat Proposal</t>
  </si>
  <si>
    <t>Annual factor</t>
  </si>
  <si>
    <t>(a2) and (b4)</t>
  </si>
  <si>
    <t>(a2) and (b2 or b3)</t>
  </si>
  <si>
    <t>(a1) and (b1 or b3)</t>
  </si>
  <si>
    <t>Corresponding options of the options paper (in 1/Time valuation)</t>
  </si>
  <si>
    <t>Choose the discount rate</t>
  </si>
  <si>
    <t>01/06/2051</t>
  </si>
  <si>
    <t>01/06/2050</t>
  </si>
  <si>
    <t>01/06/2049</t>
  </si>
  <si>
    <t>01/06/2048</t>
  </si>
  <si>
    <t>01/06/2047</t>
  </si>
  <si>
    <t>01/06/2046</t>
  </si>
  <si>
    <t>01/06/2045</t>
  </si>
  <si>
    <t>01/06/2044</t>
  </si>
  <si>
    <t>01/06/2043</t>
  </si>
  <si>
    <t>01/06/2042</t>
  </si>
  <si>
    <t>01/06/2041</t>
  </si>
  <si>
    <t>01/06/2040</t>
  </si>
  <si>
    <t>01/06/2039</t>
  </si>
  <si>
    <t>01/06/2038</t>
  </si>
  <si>
    <t>01/06/2037</t>
  </si>
  <si>
    <t>01/06/2036</t>
  </si>
  <si>
    <t>01/06/2035</t>
  </si>
  <si>
    <t>01/06/2034</t>
  </si>
  <si>
    <t>01/06/2033</t>
  </si>
  <si>
    <t>01/06/2032</t>
  </si>
  <si>
    <t>01/06/2031</t>
  </si>
  <si>
    <t>01/06/2030</t>
  </si>
  <si>
    <t>01/06/2029</t>
  </si>
  <si>
    <t>01/06/2028</t>
  </si>
  <si>
    <t>01/06/2027</t>
  </si>
  <si>
    <t>Present value of future payments</t>
  </si>
  <si>
    <r>
      <t>Annual factor at 9% (1.09)</t>
    </r>
    <r>
      <rPr>
        <b/>
        <vertAlign val="superscript"/>
        <sz val="8"/>
        <rFont val="Arial"/>
        <family val="2"/>
      </rPr>
      <t>p</t>
    </r>
  </si>
  <si>
    <t>Total</t>
  </si>
  <si>
    <t>Interest</t>
  </si>
  <si>
    <t>Principal</t>
  </si>
  <si>
    <t>Principal outstanding</t>
  </si>
  <si>
    <t>Period (p)</t>
  </si>
  <si>
    <t>Date payment due</t>
  </si>
  <si>
    <t>Future payments</t>
  </si>
  <si>
    <t>annually</t>
  </si>
  <si>
    <t>Repayments :</t>
  </si>
  <si>
    <t>Rate :</t>
  </si>
  <si>
    <t>Discount rate</t>
  </si>
  <si>
    <t>Amount :</t>
  </si>
  <si>
    <t>SCHEDULE OF THE RESCHEDULED LOAN</t>
  </si>
  <si>
    <t>sum=</t>
  </si>
  <si>
    <t>Original Grant equivalent=</t>
  </si>
  <si>
    <t>Sum=</t>
  </si>
  <si>
    <t>01/06/2026</t>
  </si>
  <si>
    <t>01/06/2025</t>
  </si>
  <si>
    <t>01/06/2024</t>
  </si>
  <si>
    <t>01/06/2023</t>
  </si>
  <si>
    <t>01/06/2022</t>
  </si>
  <si>
    <t>01/06/2021</t>
  </si>
  <si>
    <t>01/06/2020</t>
  </si>
  <si>
    <t>SCHEDULE OF THE ORIGINAL LOAN</t>
  </si>
  <si>
    <t>=</t>
  </si>
  <si>
    <t>Additional ODA=</t>
  </si>
  <si>
    <t>New Grant equivalent=</t>
  </si>
  <si>
    <t>Debt treatment</t>
  </si>
  <si>
    <t>Case 1. A debt relief operation occurs at the beginning of 2027 (before the annual payment) in the form of debt forgiveness.</t>
  </si>
  <si>
    <t>extension of maturity</t>
  </si>
  <si>
    <t>extension of
 grace period</t>
  </si>
  <si>
    <t>Difference between initial and new loan repayments, present value at date of treatment</t>
  </si>
  <si>
    <r>
      <t>Annual factor at 9% (1.09)</t>
    </r>
    <r>
      <rPr>
        <b/>
        <vertAlign val="superscript"/>
        <sz val="8"/>
        <color indexed="10"/>
        <rFont val="Arial"/>
        <family val="2"/>
      </rPr>
      <t>p-7</t>
    </r>
  </si>
  <si>
    <t>Case 2: The debt relief operation occurs at the beginning of 2027 (before the annual payment) in the form of a rescheduling</t>
  </si>
  <si>
    <t>Case 3. The debt relief operation occurs at the beginning of 2027 in the form of debt forgiveness. There are interests in arrears.</t>
  </si>
  <si>
    <t>Case 4: The debt relief operation occurs at the beginning of 2027 in the form of rescheduling. There are interests in arrears.</t>
  </si>
  <si>
    <t>Case 5: The debt relief operation occurs at the beginning of 2027 in the form of a rescheduling. There are interests in arrears and longer maturity.</t>
  </si>
  <si>
    <r>
      <t>Annual factor at 9% (1.09)</t>
    </r>
    <r>
      <rPr>
        <b/>
        <vertAlign val="superscript"/>
        <sz val="8"/>
        <color indexed="10"/>
        <rFont val="Arial"/>
        <family val="2"/>
      </rPr>
      <t>p-15</t>
    </r>
  </si>
  <si>
    <t>Case 6: The debt relief operation occurs at the beginning of 2035 in the form of a rescheduling</t>
  </si>
  <si>
    <r>
      <t>Annual factor at 9% (1.09)</t>
    </r>
    <r>
      <rPr>
        <b/>
        <vertAlign val="superscript"/>
        <sz val="8"/>
        <color indexed="10"/>
        <rFont val="Arial"/>
        <family val="2"/>
      </rPr>
      <t>p-10</t>
    </r>
  </si>
  <si>
    <t>Debt treatment at date</t>
  </si>
  <si>
    <t>Late interest rate</t>
  </si>
  <si>
    <r>
      <t>Annual factor at 9% (1.09)</t>
    </r>
    <r>
      <rPr>
        <b/>
        <vertAlign val="superscript"/>
        <sz val="8"/>
        <color rgb="FFFF0000"/>
        <rFont val="Arial"/>
        <family val="2"/>
      </rPr>
      <t>p-7</t>
    </r>
  </si>
  <si>
    <t>ceiling</t>
  </si>
  <si>
    <t>Original ODA</t>
  </si>
  <si>
    <t>New ODA</t>
  </si>
  <si>
    <t>sum</t>
  </si>
  <si>
    <t>New ODA, after application f the ceiling</t>
  </si>
  <si>
    <t>For reference: present value of future payments initially due, at date of treatment</t>
  </si>
  <si>
    <t>For reference</t>
  </si>
  <si>
    <t>Present value of future payments initially due, at date of treatment</t>
  </si>
  <si>
    <t>For reference: present value of interests initially due and in arrears, at date of treatment</t>
  </si>
  <si>
    <t>Consolidated interests</t>
  </si>
  <si>
    <t>Outstanding</t>
  </si>
  <si>
    <t>Difference between initial and new loan repayments, present value at date of treatment=2035</t>
  </si>
  <si>
    <t>Present value of future payments initially due, at date of treatment=2035</t>
  </si>
  <si>
    <t>Late interests, cumulative</t>
  </si>
  <si>
    <t xml:space="preserve">sum = </t>
  </si>
  <si>
    <t>LMIC</t>
  </si>
  <si>
    <r>
      <t>Annual factor at 7% (1.07)</t>
    </r>
    <r>
      <rPr>
        <b/>
        <vertAlign val="superscript"/>
        <sz val="8"/>
        <rFont val="Arial"/>
        <family val="2"/>
      </rPr>
      <t>p</t>
    </r>
  </si>
  <si>
    <t>Arrears and late interests</t>
  </si>
  <si>
    <t>Interests in arrears</t>
  </si>
  <si>
    <t>Principal in arrears</t>
  </si>
  <si>
    <t>Total interests in arrears and late interests</t>
  </si>
  <si>
    <t>01/06/2002</t>
  </si>
  <si>
    <t>01/06/2003</t>
  </si>
  <si>
    <t>01/06/2004</t>
  </si>
  <si>
    <t>01/06/2005</t>
  </si>
  <si>
    <t>01/06/2006</t>
  </si>
  <si>
    <t>01/06/2007</t>
  </si>
  <si>
    <t>01/06/2008</t>
  </si>
  <si>
    <t>01/06/2009</t>
  </si>
  <si>
    <t>01/06/2010</t>
  </si>
  <si>
    <t>01/06/2011</t>
  </si>
  <si>
    <t>01/06/2012</t>
  </si>
  <si>
    <t>01/06/2013</t>
  </si>
  <si>
    <t>01/06/2014</t>
  </si>
  <si>
    <t>01/06/2015</t>
  </si>
  <si>
    <t>01/06/2016</t>
  </si>
  <si>
    <t>01/06/2017</t>
  </si>
  <si>
    <t>01/06/2018</t>
  </si>
  <si>
    <t>01/06/2019</t>
  </si>
  <si>
    <r>
      <t>Annual factor at 7% (1.07)</t>
    </r>
    <r>
      <rPr>
        <b/>
        <vertAlign val="superscript"/>
        <sz val="8"/>
        <color indexed="10"/>
        <rFont val="Arial"/>
        <family val="2"/>
      </rPr>
      <t>p-48</t>
    </r>
  </si>
  <si>
    <t>Present value of future payments, at date of treatment</t>
  </si>
  <si>
    <t>Present value of future payments at date of treatment</t>
  </si>
  <si>
    <t>Present value of future payments, at dae of treatment</t>
  </si>
  <si>
    <r>
      <t>Annual factor at X% (1.0X)</t>
    </r>
    <r>
      <rPr>
        <b/>
        <i/>
        <vertAlign val="superscript"/>
        <sz val="8"/>
        <color rgb="FFFF0000"/>
        <rFont val="Arial"/>
        <family val="2"/>
      </rPr>
      <t>p-7</t>
    </r>
  </si>
  <si>
    <t>Present value of future payments - At date of treatment (2027)</t>
  </si>
  <si>
    <t>Step 1:</t>
  </si>
  <si>
    <t>Step 2:</t>
  </si>
  <si>
    <t>Derive the amount of additional ODA in 2027, before the application of the ceiling</t>
  </si>
  <si>
    <t>Derive the amount to be recorded as additional ODA in 2027, after application of the ceiling</t>
  </si>
  <si>
    <t>New ODA, after application of the ceiling</t>
  </si>
  <si>
    <t>ODA recorded so far</t>
  </si>
  <si>
    <t>New ODA, before application of the ceiling</t>
  </si>
  <si>
    <t>sum (ODA + new ODA)</t>
  </si>
  <si>
    <t>Template for collecting the details of debt relief operations</t>
  </si>
  <si>
    <t>Step 0:</t>
  </si>
  <si>
    <t xml:space="preserve">Calculation of the grant equivalent recorded as ODA in 2020 </t>
  </si>
  <si>
    <t>Calculation of the new grant equivalent</t>
  </si>
  <si>
    <t>Step 3:</t>
  </si>
  <si>
    <t>Amount:</t>
  </si>
  <si>
    <t>Original grant equivalent, discounted</t>
  </si>
  <si>
    <t>See examples of schedules in Examples 1-3.</t>
  </si>
  <si>
    <r>
      <t>Factor at discount rate
(1+DR)</t>
    </r>
    <r>
      <rPr>
        <b/>
        <vertAlign val="superscript"/>
        <sz val="8"/>
        <rFont val="Arial"/>
        <family val="2"/>
      </rPr>
      <t>p- (date of treatment - date of commitment)</t>
    </r>
  </si>
  <si>
    <t>= amount * (1+DR) ^ (date of treatment - date of commitment) - sum (Present value of future payments, at date of treatment)</t>
  </si>
  <si>
    <t>Rate for late interest:</t>
  </si>
  <si>
    <t>=sum (Present value of future payments, at date of treatment)</t>
  </si>
  <si>
    <t>Interest rate (post treatment):</t>
  </si>
  <si>
    <t>Repayment type and frequency:</t>
  </si>
  <si>
    <t>sum =</t>
  </si>
  <si>
    <t>Result of step 1:</t>
  </si>
  <si>
    <t>= consolidated interests - sum (Present value of future payments, at date of treatment)</t>
  </si>
  <si>
    <t>CRS Identification number of the original ODA loan =</t>
  </si>
  <si>
    <t>Result of step 2:</t>
  </si>
  <si>
    <t>Derive the amount of additional ODA related to the debt operation, before the application of the ceiling</t>
  </si>
  <si>
    <t>additional ODA related to the debt operation, before the application of the ceiling =</t>
  </si>
  <si>
    <r>
      <t xml:space="preserve">Grant equivalent of the original loan
</t>
    </r>
    <r>
      <rPr>
        <b/>
        <i/>
        <sz val="10"/>
        <color rgb="FFFF0000"/>
        <rFont val="Arial"/>
        <family val="2"/>
      </rPr>
      <t xml:space="preserve">[GE original] </t>
    </r>
    <r>
      <rPr>
        <b/>
        <sz val="10"/>
        <color rgb="FFFF0000"/>
        <rFont val="Arial"/>
        <family val="2"/>
      </rPr>
      <t xml:space="preserve">= </t>
    </r>
  </si>
  <si>
    <t>Derive the amount to be recorded as additional ODA for the debt relief operation, after application of the ceiling</t>
  </si>
  <si>
    <r>
      <t xml:space="preserve">Grant equivalent of the original loan, discounted at date of treatment 
</t>
    </r>
    <r>
      <rPr>
        <b/>
        <i/>
        <sz val="10"/>
        <color rgb="FFFF0000"/>
        <rFont val="Arial"/>
        <family val="2"/>
      </rPr>
      <t>[GE original]</t>
    </r>
    <r>
      <rPr>
        <b/>
        <i/>
        <vertAlign val="superscript"/>
        <sz val="10"/>
        <color rgb="FFFF0000"/>
        <rFont val="Arial"/>
        <family val="2"/>
      </rPr>
      <t>discounted</t>
    </r>
  </si>
  <si>
    <r>
      <t xml:space="preserve">Original loan commitment
</t>
    </r>
    <r>
      <rPr>
        <b/>
        <sz val="10"/>
        <color rgb="FFFF0000"/>
        <rFont val="Arial"/>
        <family val="2"/>
      </rPr>
      <t xml:space="preserve">[ceiling] </t>
    </r>
    <r>
      <rPr>
        <b/>
        <sz val="10"/>
        <rFont val="Arial"/>
        <family val="2"/>
      </rPr>
      <t>=</t>
    </r>
  </si>
  <si>
    <t>Result of step 3:</t>
  </si>
  <si>
    <r>
      <t xml:space="preserve">Sum </t>
    </r>
    <r>
      <rPr>
        <b/>
        <i/>
        <sz val="10"/>
        <color rgb="FFFF0000"/>
        <rFont val="Arial"/>
        <family val="2"/>
      </rPr>
      <t>[ODA recorded so far]</t>
    </r>
    <r>
      <rPr>
        <b/>
        <sz val="10"/>
        <rFont val="Arial"/>
        <family val="2"/>
      </rPr>
      <t xml:space="preserve"> =</t>
    </r>
  </si>
  <si>
    <t>Amounts extended before 2018 =</t>
  </si>
  <si>
    <t>Repayments received before 2018 =</t>
  </si>
  <si>
    <t>Grant equivalent recorded as from 2018 =</t>
  </si>
  <si>
    <t>Cumulative ODA amounts (positive and negative) recorded so far for the original loan:</t>
  </si>
  <si>
    <t>New ODA recorded for debt relief, after application of the ceiling =</t>
  </si>
  <si>
    <t>Original grant equivalent, discounted =</t>
  </si>
  <si>
    <t>Additional ODA =</t>
  </si>
  <si>
    <t>Grant equivalent of consolidated interests =</t>
  </si>
  <si>
    <t>Derive the amount of additional ODA in 2035, before the application of the ceiling</t>
  </si>
  <si>
    <t>grant element =</t>
  </si>
  <si>
    <t>Initial loan at initial date (2020)</t>
  </si>
  <si>
    <t xml:space="preserve">Example 1: </t>
  </si>
  <si>
    <t>Consider an ODA loan to a low-income country of USD 300 million, committed and fully disbursed in 2020 i.e. post 2018, with an interest rate of 2%, a grace period of 6 years and a maturity of 18 years.</t>
  </si>
  <si>
    <t xml:space="preserve">Example 2: </t>
  </si>
  <si>
    <t xml:space="preserve">Consider an ODA loan of 100 to an LMIC, committed and fully disbursed in 2002. The interest rate is 2 %, there are 6 years of grace period and 18 years of maturity. </t>
  </si>
  <si>
    <t>Case 7: There are interests and principal in arrears (no interest nor principal paid starting in 2018); the rate for late interest is 7%.The loan is substantially repaid prior to 2018. The debt relief operation occurs at the beginning of 2050 in the form of a debt forgiveness.</t>
  </si>
  <si>
    <t xml:space="preserve">New grant equivalent = </t>
  </si>
  <si>
    <t>Late interests =</t>
  </si>
  <si>
    <t>(sum of amounts extended minus amounts repaid)</t>
  </si>
  <si>
    <t>Initial loan at initial date (2002)</t>
  </si>
  <si>
    <t>Calculation of the grant equivalent of the initial loan (note that the loan was committed in 2002, prior 2018, and thus the grant equivalent was not recorded in ODA at that time)</t>
  </si>
  <si>
    <t>Derive the amount of additional ODA in 2050, before the application of the ceiling</t>
  </si>
  <si>
    <t>Derive the amount to be recorded as additional ODA in 2050, after application of the ceiling</t>
  </si>
  <si>
    <t xml:space="preserve">Example 3: </t>
  </si>
  <si>
    <t xml:space="preserve">Consider an ODA loan of 100 to an LMIC, committed and fully disbursed in 2020. The interest rate is 2 %, there are 6 years of grace period and 18 years of maturity. </t>
  </si>
  <si>
    <t>LDC and other LIC</t>
  </si>
  <si>
    <t>Derive the amount of additional ODA in 2030, before the application of the ceiling</t>
  </si>
  <si>
    <t>Derive the amount to be recorded as additional ODA in 2030, after application of the ceiling</t>
  </si>
  <si>
    <t>Case 8: A debt forgiveness occurs in 2030, the country has now changed income group and is classified as a LIC. There are interests and principal in arrears (no interest paid starting in 2024, no principal paid); the rate for late interest is 7%.</t>
  </si>
  <si>
    <t>Grant equivalent of the original loan, discounted =</t>
  </si>
  <si>
    <t>(grant equivalent using the discount rate of 9%)</t>
  </si>
  <si>
    <t>(grant equivalent as recorded in 2020, i.e. using the discount rate of 7%)</t>
  </si>
  <si>
    <t xml:space="preserve">Case 9: A debt rescheduling occurs in 2030, the country has now changed income group and is classified as a LIC. There are interests and principal in arrears (no interest paid
starting in 2024, no principal paid); the rate for late interest is 5%. </t>
  </si>
  <si>
    <r>
      <rPr>
        <b/>
        <i/>
        <sz val="10"/>
        <color theme="4"/>
        <rFont val="Arial"/>
        <family val="2"/>
      </rPr>
      <t>If</t>
    </r>
    <r>
      <rPr>
        <i/>
        <sz val="10"/>
        <color theme="4"/>
        <rFont val="Arial"/>
        <family val="2"/>
      </rPr>
      <t xml:space="preserve">  </t>
    </r>
    <r>
      <rPr>
        <sz val="10"/>
        <rFont val="Arial"/>
        <family val="2"/>
      </rPr>
      <t>[ODA recorded so far]  + ([GE new]  – [GE original]</t>
    </r>
    <r>
      <rPr>
        <vertAlign val="superscript"/>
        <sz val="10"/>
        <rFont val="Arial"/>
        <family val="2"/>
      </rPr>
      <t>discounted</t>
    </r>
    <r>
      <rPr>
        <sz val="10"/>
        <rFont val="Arial"/>
        <family val="2"/>
      </rPr>
      <t xml:space="preserve"> + [late interests]) &lt; [ceiling] 
</t>
    </r>
    <r>
      <rPr>
        <b/>
        <i/>
        <sz val="10"/>
        <color theme="4"/>
        <rFont val="Arial"/>
        <family val="2"/>
      </rPr>
      <t xml:space="preserve">Then: </t>
    </r>
    <r>
      <rPr>
        <sz val="10"/>
        <color rgb="FFFF0000"/>
        <rFont val="Arial"/>
        <family val="2"/>
      </rPr>
      <t xml:space="preserve">New ODA recorded for debt relief </t>
    </r>
    <r>
      <rPr>
        <sz val="10"/>
        <rFont val="Arial"/>
        <family val="2"/>
      </rPr>
      <t>= [GE new] – [GE original]</t>
    </r>
    <r>
      <rPr>
        <vertAlign val="superscript"/>
        <sz val="10"/>
        <rFont val="Arial"/>
        <family val="2"/>
      </rPr>
      <t xml:space="preserve">discounted  </t>
    </r>
    <r>
      <rPr>
        <sz val="10"/>
        <rFont val="Arial"/>
        <family val="2"/>
      </rPr>
      <t xml:space="preserve">+ [late interests]
</t>
    </r>
    <r>
      <rPr>
        <b/>
        <i/>
        <sz val="10"/>
        <color theme="4"/>
        <rFont val="Arial"/>
        <family val="2"/>
      </rPr>
      <t xml:space="preserve">
Else:      </t>
    </r>
    <r>
      <rPr>
        <sz val="10"/>
        <color rgb="FFFF0000"/>
        <rFont val="Arial"/>
        <family val="2"/>
      </rPr>
      <t>New ODA recorded for debt relief</t>
    </r>
    <r>
      <rPr>
        <sz val="10"/>
        <rFont val="Arial"/>
        <family val="2"/>
      </rPr>
      <t xml:space="preserve"> = [ceiling] – [ODA recorded so far]</t>
    </r>
  </si>
  <si>
    <t>Commitment date</t>
  </si>
  <si>
    <t>Date of debt treatment</t>
  </si>
  <si>
    <t>Formula included = [GE original] * (1+DR) ^ (date of treatment - date of commitment)</t>
  </si>
  <si>
    <t>A formula is included.</t>
  </si>
  <si>
    <t>Please fill the information requested in the shaded cells and share the new schedule of the loan, post debt treatment.</t>
  </si>
  <si>
    <t>Discount rate (DR) at the date of treatment</t>
  </si>
  <si>
    <r>
      <rPr>
        <b/>
        <sz val="10"/>
        <color theme="1"/>
        <rFont val="Arial"/>
        <family val="2"/>
      </rPr>
      <t xml:space="preserve">New Grant equivalent of the loan </t>
    </r>
    <r>
      <rPr>
        <b/>
        <sz val="10"/>
        <color rgb="FFFF0000"/>
        <rFont val="Arial"/>
        <family val="2"/>
      </rPr>
      <t xml:space="preserve">
</t>
    </r>
    <r>
      <rPr>
        <b/>
        <i/>
        <sz val="10"/>
        <color rgb="FFFF0000"/>
        <rFont val="Arial"/>
        <family val="2"/>
      </rPr>
      <t xml:space="preserve">[GE new] </t>
    </r>
    <r>
      <rPr>
        <b/>
        <sz val="10"/>
        <color theme="1"/>
        <rFont val="Arial"/>
        <family val="2"/>
      </rPr>
      <t>=</t>
    </r>
  </si>
  <si>
    <r>
      <t xml:space="preserve">If relevant, for debt forginess, sum of late interests forgiven </t>
    </r>
    <r>
      <rPr>
        <b/>
        <i/>
        <sz val="10"/>
        <color rgb="FFFF0000"/>
        <rFont val="Arial"/>
        <family val="2"/>
      </rPr>
      <t>[late interests]</t>
    </r>
    <r>
      <rPr>
        <b/>
        <i/>
        <sz val="10"/>
        <color theme="1"/>
        <rFont val="Arial"/>
        <family val="2"/>
      </rPr>
      <t xml:space="preserve"> </t>
    </r>
    <r>
      <rPr>
        <b/>
        <sz val="10"/>
        <color theme="1"/>
        <rFont val="Arial"/>
        <family val="2"/>
      </rPr>
      <t>=</t>
    </r>
  </si>
  <si>
    <r>
      <t>If relevant, for debt rescheduling, grant equivalent of consolidated interests</t>
    </r>
    <r>
      <rPr>
        <b/>
        <sz val="10"/>
        <color rgb="FFFF0000"/>
        <rFont val="Arial"/>
        <family val="2"/>
      </rPr>
      <t xml:space="preserve"> </t>
    </r>
    <r>
      <rPr>
        <b/>
        <i/>
        <sz val="10"/>
        <color rgb="FFFF0000"/>
        <rFont val="Arial"/>
        <family val="2"/>
      </rPr>
      <t>[late interests]</t>
    </r>
    <r>
      <rPr>
        <b/>
        <sz val="10"/>
        <rFont val="Arial"/>
        <family val="2"/>
      </rPr>
      <t xml:space="preserve"> =</t>
    </r>
  </si>
  <si>
    <r>
      <t>Formula included = [GE new] – [GE original]</t>
    </r>
    <r>
      <rPr>
        <b/>
        <vertAlign val="superscript"/>
        <sz val="10"/>
        <rFont val="Arial"/>
        <family val="2"/>
      </rPr>
      <t xml:space="preserve">discounted </t>
    </r>
    <r>
      <rPr>
        <b/>
        <sz val="10"/>
        <rFont val="Arial"/>
        <family val="2"/>
      </rPr>
      <t>+ [late interests]</t>
    </r>
  </si>
  <si>
    <r>
      <t xml:space="preserve">To be calculated using the discount rate associated to the income group applicable to the country </t>
    </r>
    <r>
      <rPr>
        <i/>
        <sz val="10"/>
        <color rgb="FFFF0000"/>
        <rFont val="Arial"/>
        <family val="2"/>
      </rPr>
      <t xml:space="preserve">at the date of treatment.
</t>
    </r>
    <r>
      <rPr>
        <i/>
        <sz val="10"/>
        <rFont val="Arial"/>
        <family val="2"/>
      </rPr>
      <t>- For loans committed as from 2018, this grant equivalent may differ from the grant equivalent registered in ODA if the discount rate valid at the time was different.
- For loans committed before 2018, the grant equivalent has not been registered in ODA under the cash-flow system.</t>
    </r>
  </si>
  <si>
    <t>Source: OECD 2021</t>
  </si>
  <si>
    <t>dac.contact@oecd.org</t>
  </si>
  <si>
    <t>For any question, please contact us 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</si>
</sst>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_ * #,##0.00_ ;_ * \-#,##0.00_ ;_ * &quot;-&quot;??_ ;_ @_ "/>
    <numFmt numFmtId="167" formatCode="0.0000000"/>
  </numFmts>
  <fonts count="42">
    <font>
      <sz val="10"/>
      <name val="Arial"/>
    </font>
    <font>
      <sz val="10"/>
      <name val="Arial"/>
      <family val="2"/>
    </font>
    <font>
      <sz val="10"/>
      <name val="Arial"/>
      <family val="2"/>
    </font>
    <font>
      <sz val="11"/>
      <name val="Arial"/>
      <family val="2"/>
    </font>
    <font>
      <b/>
      <sz val="10"/>
      <color rgb="FFFF0000"/>
      <name val="Arial"/>
      <family val="2"/>
    </font>
    <font>
      <b/>
      <sz val="10"/>
      <name val="Arial"/>
      <family val="2"/>
    </font>
    <font>
      <sz val="10"/>
      <color rgb="FFFF0000"/>
      <name val="Arial"/>
      <family val="2"/>
    </font>
    <font>
      <sz val="9"/>
      <name val="Arial"/>
      <family val="2"/>
    </font>
    <font>
      <b/>
      <sz val="9"/>
      <name val="Arial"/>
      <family val="2"/>
    </font>
    <font>
      <i/>
      <sz val="10"/>
      <name val="Calibri"/>
      <family val="2"/>
      <scheme val="minor"/>
    </font>
    <font>
      <sz val="8"/>
      <name val="Arial"/>
      <family val="2"/>
    </font>
    <font>
      <b/>
      <sz val="8"/>
      <name val="Arial"/>
      <family val="2"/>
    </font>
    <font>
      <b/>
      <vertAlign val="superscript"/>
      <sz val="8"/>
      <name val="Arial"/>
      <family val="2"/>
    </font>
    <font>
      <b/>
      <i/>
      <sz val="10"/>
      <name val="Arial"/>
      <family val="2"/>
    </font>
    <font>
      <b/>
      <sz val="12"/>
      <name val="Arial"/>
      <family val="2"/>
    </font>
    <font>
      <b/>
      <sz val="16"/>
      <name val="Arial"/>
      <family val="2"/>
    </font>
    <font>
      <i/>
      <sz val="10"/>
      <name val="Arial"/>
      <family val="2"/>
    </font>
    <font>
      <b/>
      <vertAlign val="superscript"/>
      <sz val="8"/>
      <color indexed="10"/>
      <name val="Arial"/>
      <family val="2"/>
    </font>
    <font>
      <b/>
      <vertAlign val="superscript"/>
      <sz val="8"/>
      <color rgb="FFFF0000"/>
      <name val="Arial"/>
      <family val="2"/>
    </font>
    <font>
      <b/>
      <i/>
      <sz val="8"/>
      <name val="Arial"/>
      <family val="2"/>
    </font>
    <font>
      <sz val="11"/>
      <color theme="1"/>
      <name val="Calibri"/>
      <family val="2"/>
      <scheme val="minor"/>
    </font>
    <font>
      <b/>
      <i/>
      <sz val="8"/>
      <color rgb="FFFF0000"/>
      <name val="Arial"/>
      <family val="2"/>
    </font>
    <font>
      <b/>
      <i/>
      <vertAlign val="superscript"/>
      <sz val="8"/>
      <color rgb="FFFF0000"/>
      <name val="Arial"/>
      <family val="2"/>
    </font>
    <font>
      <i/>
      <sz val="10"/>
      <color rgb="FFFF0000"/>
      <name val="Arial"/>
      <family val="2"/>
    </font>
    <font>
      <b/>
      <i/>
      <sz val="10"/>
      <color rgb="FFFF0000"/>
      <name val="Arial"/>
      <family val="2"/>
    </font>
    <font>
      <i/>
      <sz val="10"/>
      <color rgb="FFFF0000"/>
      <name val="Calibri"/>
      <family val="2"/>
      <scheme val="minor"/>
    </font>
    <font>
      <b/>
      <sz val="11"/>
      <name val="Times New Roman"/>
      <family val="1"/>
    </font>
    <font>
      <b/>
      <i/>
      <sz val="11"/>
      <name val="Times New Roman"/>
      <family val="1"/>
    </font>
    <font>
      <b/>
      <i/>
      <sz val="10"/>
      <color theme="8"/>
      <name val="Arial"/>
      <family val="2"/>
    </font>
    <font>
      <b/>
      <i/>
      <vertAlign val="superscript"/>
      <sz val="10"/>
      <color rgb="FFFF0000"/>
      <name val="Arial"/>
      <family val="2"/>
    </font>
    <font>
      <i/>
      <sz val="8"/>
      <color rgb="FFFF0000"/>
      <name val="Arial"/>
      <family val="2"/>
    </font>
    <font>
      <vertAlign val="superscript"/>
      <sz val="10"/>
      <name val="Arial"/>
      <family val="2"/>
    </font>
    <font>
      <b/>
      <i/>
      <sz val="10"/>
      <color theme="4"/>
      <name val="Arial"/>
      <family val="2"/>
    </font>
    <font>
      <i/>
      <sz val="10"/>
      <color theme="4"/>
      <name val="Arial"/>
      <family val="2"/>
    </font>
    <font>
      <sz val="10"/>
      <name val="Arial"/>
    </font>
    <font>
      <b/>
      <sz val="16"/>
      <color rgb="FFFF0000"/>
      <name val="Arial"/>
      <family val="2"/>
    </font>
    <font>
      <b/>
      <sz val="10"/>
      <color theme="1"/>
      <name val="Arial"/>
      <family val="2"/>
    </font>
    <font>
      <i/>
      <sz val="9"/>
      <name val="Arial"/>
      <family val="2"/>
    </font>
    <font>
      <b/>
      <i/>
      <sz val="10"/>
      <color theme="1"/>
      <name val="Arial"/>
      <family val="2"/>
    </font>
    <font>
      <b/>
      <vertAlign val="superscript"/>
      <sz val="10"/>
      <name val="Arial"/>
      <family val="2"/>
    </font>
    <font>
      <u/>
      <sz val="10"/>
      <color theme="10"/>
      <name val="Arial"/>
      <family val="2"/>
    </font>
    <font>
      <b/>
      <i/>
      <u/>
      <sz val="10"/>
      <color theme="10"/>
      <name val="Arial"/>
      <family val="2"/>
    </font>
  </fonts>
  <fills count="2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4" tint="-0.24997711111789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39997558519241921"/>
        <bgColor indexed="64"/>
      </patternFill>
    </fill>
    <fill>
      <patternFill patternType="solid">
        <fgColor theme="7"/>
        <bgColor indexed="64"/>
      </patternFill>
    </fill>
    <fill>
      <patternFill patternType="solid">
        <fgColor rgb="FFFFC000"/>
        <bgColor indexed="64"/>
      </patternFill>
    </fill>
    <fill>
      <patternFill patternType="solid">
        <fgColor theme="6" tint="0.59999389629810485"/>
        <bgColor indexed="64"/>
      </patternFill>
    </fill>
  </fills>
  <borders count="22">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dotted">
        <color indexed="64"/>
      </bottom>
      <diagonal/>
    </border>
    <border>
      <left/>
      <right/>
      <top/>
      <bottom style="thin">
        <color indexed="64"/>
      </bottom>
      <diagonal/>
    </border>
    <border>
      <left style="dotted">
        <color auto="1"/>
      </left>
      <right/>
      <top/>
      <bottom/>
      <diagonal/>
    </border>
    <border>
      <left/>
      <right/>
      <top/>
      <bottom style="dashed">
        <color auto="1"/>
      </bottom>
      <diagonal/>
    </border>
    <border>
      <left/>
      <right/>
      <top/>
      <bottom style="dotted">
        <color rgb="FFFF0000"/>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8">
    <xf numFmtId="0" fontId="0" fillId="0" borderId="0"/>
    <xf numFmtId="0" fontId="2" fillId="0" borderId="0"/>
    <xf numFmtId="9" fontId="2" fillId="0" borderId="0" applyFont="0" applyFill="0" applyBorder="0" applyAlignment="0" applyProtection="0"/>
    <xf numFmtId="166" fontId="2" fillId="0" borderId="0" applyFont="0" applyFill="0" applyBorder="0" applyAlignment="0" applyProtection="0"/>
    <xf numFmtId="0" fontId="1" fillId="0" borderId="0"/>
    <xf numFmtId="0" fontId="20" fillId="0" borderId="0"/>
    <xf numFmtId="9" fontId="34" fillId="0" borderId="0" applyFont="0" applyFill="0" applyBorder="0" applyAlignment="0" applyProtection="0"/>
    <xf numFmtId="0" fontId="40" fillId="0" borderId="0" applyNumberFormat="0" applyFill="0" applyBorder="0" applyAlignment="0" applyProtection="0"/>
  </cellStyleXfs>
  <cellXfs count="533">
    <xf numFmtId="0" fontId="0" fillId="0" borderId="0" xfId="0"/>
    <xf numFmtId="0" fontId="2" fillId="0" borderId="0" xfId="1"/>
    <xf numFmtId="0" fontId="2" fillId="2" borderId="0" xfId="1" applyFill="1"/>
    <xf numFmtId="1" fontId="2" fillId="5" borderId="2" xfId="1" applyNumberFormat="1" applyFill="1" applyBorder="1" applyAlignment="1">
      <alignment horizontal="center"/>
    </xf>
    <xf numFmtId="9" fontId="2" fillId="5" borderId="2" xfId="1" applyNumberFormat="1" applyFill="1" applyBorder="1" applyAlignment="1">
      <alignment horizontal="center"/>
    </xf>
    <xf numFmtId="0" fontId="2" fillId="5" borderId="2" xfId="1" applyFill="1" applyBorder="1" applyAlignment="1">
      <alignment horizontal="center"/>
    </xf>
    <xf numFmtId="1" fontId="2" fillId="6" borderId="2" xfId="1" applyNumberFormat="1" applyFill="1" applyBorder="1" applyAlignment="1">
      <alignment horizontal="center"/>
    </xf>
    <xf numFmtId="9" fontId="2" fillId="6" borderId="2" xfId="1" applyNumberFormat="1" applyFill="1" applyBorder="1" applyAlignment="1">
      <alignment horizontal="center"/>
    </xf>
    <xf numFmtId="0" fontId="2" fillId="6" borderId="2" xfId="1" applyFill="1" applyBorder="1" applyAlignment="1">
      <alignment horizontal="center"/>
    </xf>
    <xf numFmtId="1" fontId="2" fillId="7" borderId="2" xfId="1" applyNumberFormat="1" applyFill="1" applyBorder="1" applyAlignment="1">
      <alignment horizontal="center"/>
    </xf>
    <xf numFmtId="9" fontId="2" fillId="7" borderId="2" xfId="1" applyNumberFormat="1" applyFill="1" applyBorder="1" applyAlignment="1">
      <alignment horizontal="center"/>
    </xf>
    <xf numFmtId="0" fontId="2" fillId="7" borderId="2" xfId="1" applyFill="1" applyBorder="1" applyAlignment="1">
      <alignment horizontal="center"/>
    </xf>
    <xf numFmtId="1" fontId="2" fillId="8" borderId="2" xfId="1" applyNumberFormat="1" applyFill="1" applyBorder="1" applyAlignment="1">
      <alignment horizontal="center"/>
    </xf>
    <xf numFmtId="9" fontId="2" fillId="8" borderId="2" xfId="1" applyNumberFormat="1" applyFill="1" applyBorder="1" applyAlignment="1">
      <alignment horizontal="center"/>
    </xf>
    <xf numFmtId="0" fontId="2" fillId="8" borderId="2" xfId="1" applyFill="1" applyBorder="1" applyAlignment="1">
      <alignment horizontal="center"/>
    </xf>
    <xf numFmtId="1" fontId="2" fillId="9" borderId="2" xfId="1" applyNumberFormat="1" applyFill="1" applyBorder="1" applyAlignment="1">
      <alignment horizontal="center"/>
    </xf>
    <xf numFmtId="9" fontId="2" fillId="9" borderId="2" xfId="1" applyNumberFormat="1" applyFill="1" applyBorder="1" applyAlignment="1">
      <alignment horizontal="center"/>
    </xf>
    <xf numFmtId="0" fontId="2" fillId="9" borderId="2" xfId="1" applyFill="1" applyBorder="1" applyAlignment="1">
      <alignment horizontal="center"/>
    </xf>
    <xf numFmtId="0" fontId="4" fillId="0" borderId="0" xfId="1" applyFont="1"/>
    <xf numFmtId="1" fontId="2" fillId="10" borderId="2" xfId="1" applyNumberFormat="1" applyFill="1" applyBorder="1" applyAlignment="1">
      <alignment horizontal="center"/>
    </xf>
    <xf numFmtId="9" fontId="2" fillId="10" borderId="2" xfId="1" applyNumberFormat="1" applyFill="1" applyBorder="1" applyAlignment="1">
      <alignment horizontal="center"/>
    </xf>
    <xf numFmtId="0" fontId="2" fillId="10" borderId="2" xfId="1" applyFill="1" applyBorder="1" applyAlignment="1">
      <alignment horizontal="center"/>
    </xf>
    <xf numFmtId="1" fontId="2" fillId="5" borderId="3" xfId="1" applyNumberFormat="1" applyFill="1" applyBorder="1" applyAlignment="1">
      <alignment horizontal="center"/>
    </xf>
    <xf numFmtId="9" fontId="2" fillId="5" borderId="3" xfId="1" applyNumberFormat="1" applyFill="1" applyBorder="1" applyAlignment="1">
      <alignment horizontal="center"/>
    </xf>
    <xf numFmtId="0" fontId="2" fillId="5" borderId="3" xfId="1" applyFill="1" applyBorder="1" applyAlignment="1">
      <alignment horizontal="center"/>
    </xf>
    <xf numFmtId="0" fontId="2" fillId="2" borderId="4" xfId="1" quotePrefix="1" applyFont="1" applyFill="1" applyBorder="1" applyAlignment="1">
      <alignment horizontal="center"/>
    </xf>
    <xf numFmtId="9" fontId="2" fillId="2" borderId="5" xfId="1" applyNumberFormat="1" applyFill="1" applyBorder="1" applyAlignment="1">
      <alignment horizontal="center"/>
    </xf>
    <xf numFmtId="0" fontId="5" fillId="2" borderId="6" xfId="1" applyFont="1" applyFill="1" applyBorder="1"/>
    <xf numFmtId="1" fontId="2" fillId="11" borderId="7" xfId="1" applyNumberFormat="1" applyFill="1" applyBorder="1" applyAlignment="1">
      <alignment horizontal="center"/>
    </xf>
    <xf numFmtId="9" fontId="2" fillId="11" borderId="7" xfId="1" applyNumberFormat="1" applyFill="1" applyBorder="1" applyAlignment="1">
      <alignment horizontal="center"/>
    </xf>
    <xf numFmtId="0" fontId="2" fillId="11" borderId="7" xfId="1" applyFill="1" applyBorder="1" applyAlignment="1">
      <alignment horizontal="center"/>
    </xf>
    <xf numFmtId="9" fontId="2" fillId="2" borderId="8" xfId="1" applyNumberFormat="1" applyFill="1" applyBorder="1" applyAlignment="1">
      <alignment horizontal="center"/>
    </xf>
    <xf numFmtId="9" fontId="2" fillId="2" borderId="0" xfId="1" applyNumberFormat="1" applyFill="1" applyBorder="1" applyAlignment="1">
      <alignment horizontal="center"/>
    </xf>
    <xf numFmtId="0" fontId="5" fillId="2" borderId="9" xfId="1" applyFont="1" applyFill="1" applyBorder="1"/>
    <xf numFmtId="9" fontId="2" fillId="2" borderId="10" xfId="1" applyNumberFormat="1" applyFill="1" applyBorder="1" applyAlignment="1">
      <alignment horizontal="center"/>
    </xf>
    <xf numFmtId="9" fontId="2" fillId="2" borderId="11" xfId="1" applyNumberFormat="1" applyFill="1" applyBorder="1" applyAlignment="1">
      <alignment horizontal="center"/>
    </xf>
    <xf numFmtId="0" fontId="5" fillId="2" borderId="12" xfId="1" applyFont="1" applyFill="1" applyBorder="1"/>
    <xf numFmtId="0" fontId="5" fillId="0" borderId="0" xfId="1" applyFont="1" applyAlignment="1">
      <alignment horizontal="left"/>
    </xf>
    <xf numFmtId="0" fontId="5" fillId="0" borderId="0" xfId="1" applyFont="1" applyAlignment="1">
      <alignment wrapText="1"/>
    </xf>
    <xf numFmtId="0" fontId="5" fillId="12" borderId="3" xfId="1" applyFont="1" applyFill="1" applyBorder="1" applyAlignment="1">
      <alignment horizontal="center" vertical="top" wrapText="1"/>
    </xf>
    <xf numFmtId="0" fontId="5" fillId="12" borderId="3" xfId="1" applyFont="1" applyFill="1" applyBorder="1" applyAlignment="1">
      <alignment horizontal="center" vertical="top"/>
    </xf>
    <xf numFmtId="9" fontId="2" fillId="0" borderId="0" xfId="1" applyNumberFormat="1"/>
    <xf numFmtId="9" fontId="6" fillId="3" borderId="0" xfId="1" applyNumberFormat="1" applyFont="1" applyFill="1" applyAlignment="1">
      <alignment horizontal="center"/>
    </xf>
    <xf numFmtId="1" fontId="2" fillId="0" borderId="0" xfId="1" applyNumberFormat="1"/>
    <xf numFmtId="49" fontId="2" fillId="0" borderId="0" xfId="1" applyNumberFormat="1"/>
    <xf numFmtId="0" fontId="2" fillId="0" borderId="0" xfId="1" applyFill="1"/>
    <xf numFmtId="1" fontId="2" fillId="0" borderId="0" xfId="1" applyNumberFormat="1" applyFill="1"/>
    <xf numFmtId="49" fontId="2" fillId="0" borderId="0" xfId="1" applyNumberFormat="1" applyFill="1"/>
    <xf numFmtId="0" fontId="7" fillId="0" borderId="0" xfId="1" applyFont="1" applyFill="1"/>
    <xf numFmtId="1" fontId="5" fillId="0" borderId="0" xfId="1" applyNumberFormat="1" applyFont="1" applyFill="1"/>
    <xf numFmtId="0" fontId="5" fillId="0" borderId="0" xfId="1" quotePrefix="1" applyFont="1" applyFill="1" applyAlignment="1">
      <alignment horizontal="right"/>
    </xf>
    <xf numFmtId="0" fontId="5" fillId="0" borderId="0" xfId="1" applyFont="1" applyFill="1"/>
    <xf numFmtId="49" fontId="5" fillId="0" borderId="0" xfId="1" applyNumberFormat="1" applyFont="1" applyFill="1"/>
    <xf numFmtId="2" fontId="5" fillId="0" borderId="0" xfId="1" applyNumberFormat="1" applyFont="1" applyFill="1" applyAlignment="1">
      <alignment horizontal="right"/>
    </xf>
    <xf numFmtId="2" fontId="2" fillId="0" borderId="0" xfId="1" applyNumberFormat="1" applyFill="1"/>
    <xf numFmtId="2" fontId="5" fillId="0" borderId="0" xfId="1" applyNumberFormat="1" applyFont="1" applyFill="1"/>
    <xf numFmtId="164" fontId="2" fillId="0" borderId="0" xfId="1" applyNumberFormat="1" applyFill="1"/>
    <xf numFmtId="0" fontId="2" fillId="0" borderId="0" xfId="1" applyFill="1" applyBorder="1"/>
    <xf numFmtId="1" fontId="2" fillId="0" borderId="0" xfId="1" applyNumberFormat="1" applyFill="1" applyAlignment="1">
      <alignment horizontal="center"/>
    </xf>
    <xf numFmtId="49" fontId="2" fillId="0" borderId="0" xfId="1" applyNumberFormat="1" applyFill="1" applyAlignment="1">
      <alignment horizontal="center"/>
    </xf>
    <xf numFmtId="164" fontId="2" fillId="0" borderId="0" xfId="1" applyNumberFormat="1" applyFill="1" applyBorder="1"/>
    <xf numFmtId="1" fontId="2" fillId="0" borderId="0" xfId="1" applyNumberFormat="1" applyFill="1" applyBorder="1"/>
    <xf numFmtId="1" fontId="2" fillId="0" borderId="0" xfId="1" applyNumberFormat="1" applyFill="1" applyBorder="1" applyAlignment="1">
      <alignment horizontal="center"/>
    </xf>
    <xf numFmtId="0" fontId="10" fillId="0" borderId="0" xfId="1" applyFont="1" applyFill="1" applyBorder="1" applyAlignment="1">
      <alignment wrapText="1"/>
    </xf>
    <xf numFmtId="0" fontId="5" fillId="0" borderId="0" xfId="1" applyFont="1" applyFill="1" applyAlignment="1">
      <alignment horizontal="right"/>
    </xf>
    <xf numFmtId="49" fontId="5" fillId="0" borderId="0" xfId="1" applyNumberFormat="1" applyFont="1" applyFill="1" applyAlignment="1">
      <alignment horizontal="left"/>
    </xf>
    <xf numFmtId="0" fontId="2" fillId="0" borderId="0" xfId="1" applyFont="1" applyFill="1"/>
    <xf numFmtId="0" fontId="5" fillId="0" borderId="0" xfId="1" applyFont="1" applyFill="1" applyBorder="1" applyAlignment="1">
      <alignment horizontal="right"/>
    </xf>
    <xf numFmtId="49" fontId="5" fillId="0" borderId="0" xfId="1" applyNumberFormat="1" applyFont="1" applyFill="1" applyBorder="1" applyAlignment="1">
      <alignment horizontal="left"/>
    </xf>
    <xf numFmtId="165" fontId="5" fillId="0" borderId="0" xfId="1" applyNumberFormat="1" applyFont="1" applyFill="1" applyBorder="1"/>
    <xf numFmtId="49" fontId="5" fillId="0" borderId="0" xfId="1" applyNumberFormat="1" applyFont="1" applyFill="1" applyBorder="1"/>
    <xf numFmtId="1" fontId="5" fillId="0" borderId="0" xfId="1" applyNumberFormat="1" applyFont="1" applyBorder="1"/>
    <xf numFmtId="49" fontId="5" fillId="0" borderId="0" xfId="1" applyNumberFormat="1" applyFont="1" applyBorder="1"/>
    <xf numFmtId="0" fontId="5" fillId="11" borderId="0" xfId="1" applyFont="1" applyFill="1"/>
    <xf numFmtId="1" fontId="5" fillId="11" borderId="0" xfId="1" applyNumberFormat="1" applyFont="1" applyFill="1"/>
    <xf numFmtId="49" fontId="5" fillId="11" borderId="0" xfId="1" applyNumberFormat="1" applyFont="1" applyFill="1"/>
    <xf numFmtId="49" fontId="13" fillId="0" borderId="0" xfId="1" applyNumberFormat="1" applyFont="1"/>
    <xf numFmtId="0" fontId="2" fillId="0" borderId="0" xfId="1" applyAlignment="1">
      <alignment horizontal="left"/>
    </xf>
    <xf numFmtId="49" fontId="14" fillId="0" borderId="0" xfId="1" applyNumberFormat="1" applyFont="1"/>
    <xf numFmtId="1" fontId="2" fillId="0" borderId="0" xfId="1" applyNumberFormat="1" applyAlignment="1">
      <alignment horizontal="center"/>
    </xf>
    <xf numFmtId="2" fontId="2" fillId="0" borderId="0" xfId="1" applyNumberFormat="1"/>
    <xf numFmtId="0" fontId="10" fillId="0" borderId="0" xfId="1" applyFont="1" applyBorder="1" applyAlignment="1">
      <alignment wrapText="1"/>
    </xf>
    <xf numFmtId="0" fontId="11" fillId="0" borderId="0" xfId="1" applyFont="1" applyBorder="1" applyAlignment="1">
      <alignment horizontal="center" vertical="center" wrapText="1"/>
    </xf>
    <xf numFmtId="1" fontId="11" fillId="0" borderId="0" xfId="1" applyNumberFormat="1" applyFont="1" applyBorder="1" applyAlignment="1">
      <alignment horizontal="center" vertical="center" wrapText="1"/>
    </xf>
    <xf numFmtId="49" fontId="11" fillId="0" borderId="0" xfId="1" applyNumberFormat="1" applyFont="1" applyBorder="1" applyAlignment="1">
      <alignment horizontal="center" vertical="center" wrapText="1"/>
    </xf>
    <xf numFmtId="0" fontId="2" fillId="0" borderId="0" xfId="1" applyBorder="1"/>
    <xf numFmtId="1" fontId="2" fillId="0" borderId="0" xfId="1" applyNumberFormat="1" applyBorder="1"/>
    <xf numFmtId="49" fontId="2" fillId="0" borderId="0" xfId="1" applyNumberFormat="1" applyBorder="1"/>
    <xf numFmtId="0" fontId="5" fillId="0" borderId="0" xfId="1" applyFont="1" applyAlignment="1">
      <alignment horizontal="right"/>
    </xf>
    <xf numFmtId="49" fontId="5" fillId="0" borderId="0" xfId="1" applyNumberFormat="1" applyFont="1" applyAlignment="1">
      <alignment horizontal="left"/>
    </xf>
    <xf numFmtId="0" fontId="5" fillId="0" borderId="0" xfId="1" applyFont="1" applyBorder="1" applyAlignment="1">
      <alignment horizontal="right"/>
    </xf>
    <xf numFmtId="49" fontId="5" fillId="0" borderId="0" xfId="1" applyNumberFormat="1" applyFont="1" applyBorder="1" applyAlignment="1">
      <alignment horizontal="left"/>
    </xf>
    <xf numFmtId="165" fontId="5" fillId="0" borderId="0" xfId="1" applyNumberFormat="1" applyFont="1" applyBorder="1"/>
    <xf numFmtId="165" fontId="2" fillId="2" borderId="0" xfId="2" applyNumberFormat="1" applyFont="1" applyFill="1"/>
    <xf numFmtId="1" fontId="2" fillId="2" borderId="0" xfId="1" applyNumberFormat="1" applyFill="1"/>
    <xf numFmtId="49" fontId="2" fillId="2" borderId="0" xfId="1" applyNumberFormat="1" applyFill="1"/>
    <xf numFmtId="1" fontId="5" fillId="2" borderId="0" xfId="1" applyNumberFormat="1" applyFont="1" applyFill="1" applyAlignment="1">
      <alignment horizontal="center"/>
    </xf>
    <xf numFmtId="164" fontId="5" fillId="2" borderId="0" xfId="1" applyNumberFormat="1" applyFont="1" applyFill="1" applyAlignment="1">
      <alignment horizontal="center"/>
    </xf>
    <xf numFmtId="2" fontId="5" fillId="2" borderId="0" xfId="1" applyNumberFormat="1" applyFont="1" applyFill="1" applyAlignment="1">
      <alignment horizontal="right"/>
    </xf>
    <xf numFmtId="164" fontId="2" fillId="2" borderId="0" xfId="1" applyNumberFormat="1" applyFill="1" applyAlignment="1"/>
    <xf numFmtId="49" fontId="2" fillId="2" borderId="0" xfId="1" applyNumberFormat="1" applyFill="1" applyAlignment="1">
      <alignment horizontal="center"/>
    </xf>
    <xf numFmtId="1" fontId="2" fillId="2" borderId="0" xfId="1" applyNumberFormat="1" applyFill="1" applyAlignment="1">
      <alignment horizontal="center"/>
    </xf>
    <xf numFmtId="164" fontId="2" fillId="2" borderId="0" xfId="1" applyNumberFormat="1" applyFill="1" applyBorder="1" applyAlignment="1">
      <alignment horizontal="center"/>
    </xf>
    <xf numFmtId="2" fontId="2" fillId="2" borderId="0" xfId="1" applyNumberFormat="1" applyFill="1" applyAlignment="1">
      <alignment horizontal="center"/>
    </xf>
    <xf numFmtId="164" fontId="2" fillId="2" borderId="0" xfId="1" applyNumberFormat="1" applyFill="1" applyAlignment="1">
      <alignment horizontal="center"/>
    </xf>
    <xf numFmtId="2" fontId="2" fillId="2" borderId="0" xfId="1" applyNumberFormat="1" applyFill="1"/>
    <xf numFmtId="0" fontId="11" fillId="2" borderId="0" xfId="1" applyFont="1" applyFill="1" applyBorder="1" applyAlignment="1">
      <alignment horizontal="center" vertical="center" wrapText="1"/>
    </xf>
    <xf numFmtId="0" fontId="10" fillId="2" borderId="0" xfId="1" applyFont="1" applyFill="1" applyBorder="1" applyAlignment="1">
      <alignment wrapText="1"/>
    </xf>
    <xf numFmtId="1" fontId="11" fillId="2" borderId="0" xfId="1" applyNumberFormat="1" applyFont="1" applyFill="1" applyBorder="1" applyAlignment="1">
      <alignment horizontal="center" vertical="center" wrapText="1"/>
    </xf>
    <xf numFmtId="49" fontId="11" fillId="2" borderId="0" xfId="1" applyNumberFormat="1" applyFont="1" applyFill="1" applyBorder="1" applyAlignment="1">
      <alignment horizontal="center" vertical="center" wrapText="1"/>
    </xf>
    <xf numFmtId="0" fontId="2" fillId="2" borderId="0" xfId="1" applyFill="1" applyBorder="1"/>
    <xf numFmtId="0" fontId="2" fillId="2" borderId="0" xfId="1" applyFill="1" applyBorder="1" applyAlignment="1">
      <alignment vertical="center"/>
    </xf>
    <xf numFmtId="9" fontId="2" fillId="0" borderId="0" xfId="1" applyNumberFormat="1" applyFill="1"/>
    <xf numFmtId="0" fontId="2" fillId="13" borderId="0" xfId="1" applyFill="1"/>
    <xf numFmtId="0" fontId="15" fillId="0" borderId="0" xfId="1" applyFont="1" applyFill="1" applyAlignment="1">
      <alignment horizontal="center"/>
    </xf>
    <xf numFmtId="164" fontId="5" fillId="0" borderId="0" xfId="1" applyNumberFormat="1" applyFont="1" applyFill="1"/>
    <xf numFmtId="164" fontId="5" fillId="0" borderId="0" xfId="3" applyNumberFormat="1" applyFont="1" applyFill="1" applyAlignment="1">
      <alignment horizontal="center"/>
    </xf>
    <xf numFmtId="164" fontId="5" fillId="0" borderId="0" xfId="1" applyNumberFormat="1" applyFont="1" applyFill="1" applyAlignment="1">
      <alignment horizontal="center"/>
    </xf>
    <xf numFmtId="0" fontId="5" fillId="0" borderId="0" xfId="1" applyFont="1" applyFill="1" applyAlignment="1">
      <alignment horizontal="left"/>
    </xf>
    <xf numFmtId="2" fontId="8" fillId="0" borderId="0" xfId="1" applyNumberFormat="1" applyFont="1" applyFill="1"/>
    <xf numFmtId="0" fontId="5" fillId="0" borderId="0" xfId="1" applyFont="1" applyFill="1" applyAlignment="1">
      <alignment wrapText="1"/>
    </xf>
    <xf numFmtId="1" fontId="5" fillId="0" borderId="0" xfId="1" quotePrefix="1" applyNumberFormat="1" applyFont="1" applyFill="1" applyAlignment="1">
      <alignment horizontal="right"/>
    </xf>
    <xf numFmtId="0" fontId="2" fillId="11" borderId="0" xfId="1" applyFill="1"/>
    <xf numFmtId="0" fontId="2" fillId="2" borderId="0" xfId="1" applyFill="1" applyAlignment="1">
      <alignment horizontal="center"/>
    </xf>
    <xf numFmtId="2" fontId="5" fillId="2" borderId="0" xfId="1" applyNumberFormat="1" applyFont="1" applyFill="1"/>
    <xf numFmtId="164" fontId="2" fillId="2" borderId="0" xfId="1" applyNumberFormat="1" applyFill="1"/>
    <xf numFmtId="14" fontId="2" fillId="2" borderId="0" xfId="1" applyNumberFormat="1" applyFill="1" applyAlignment="1">
      <alignment horizontal="center"/>
    </xf>
    <xf numFmtId="0" fontId="11" fillId="11" borderId="0" xfId="1" applyFont="1" applyFill="1" applyBorder="1" applyAlignment="1">
      <alignment horizontal="center" vertical="center" wrapText="1"/>
    </xf>
    <xf numFmtId="0" fontId="10" fillId="13" borderId="0" xfId="1" applyFont="1" applyFill="1" applyBorder="1" applyAlignment="1">
      <alignment wrapText="1"/>
    </xf>
    <xf numFmtId="0" fontId="2" fillId="13" borderId="0" xfId="1" applyFill="1" applyBorder="1"/>
    <xf numFmtId="1" fontId="2" fillId="2" borderId="0" xfId="1" applyNumberFormat="1" applyFill="1" applyBorder="1"/>
    <xf numFmtId="49" fontId="2" fillId="2" borderId="0" xfId="1" applyNumberFormat="1" applyFill="1" applyBorder="1"/>
    <xf numFmtId="0" fontId="5" fillId="2" borderId="0" xfId="1" applyFont="1" applyFill="1" applyAlignment="1">
      <alignment horizontal="right"/>
    </xf>
    <xf numFmtId="49" fontId="5" fillId="2" borderId="0" xfId="1" applyNumberFormat="1" applyFont="1" applyFill="1" applyAlignment="1">
      <alignment horizontal="left"/>
    </xf>
    <xf numFmtId="0" fontId="5" fillId="0" borderId="0" xfId="1" applyFont="1"/>
    <xf numFmtId="0" fontId="2" fillId="13" borderId="0" xfId="1" applyFont="1" applyFill="1"/>
    <xf numFmtId="1" fontId="2" fillId="0" borderId="0" xfId="1" applyNumberFormat="1" applyFont="1" applyFill="1"/>
    <xf numFmtId="49" fontId="2" fillId="0" borderId="0" xfId="1" applyNumberFormat="1" applyFont="1" applyFill="1"/>
    <xf numFmtId="2" fontId="2" fillId="0" borderId="0" xfId="1" applyNumberFormat="1" applyFont="1" applyFill="1"/>
    <xf numFmtId="167" fontId="2" fillId="0" borderId="0" xfId="1" applyNumberFormat="1" applyFont="1" applyFill="1"/>
    <xf numFmtId="164" fontId="5" fillId="11" borderId="0" xfId="1" applyNumberFormat="1" applyFont="1" applyFill="1" applyAlignment="1">
      <alignment horizontal="center"/>
    </xf>
    <xf numFmtId="0" fontId="2" fillId="2" borderId="0" xfId="1" applyFont="1" applyFill="1"/>
    <xf numFmtId="2" fontId="2" fillId="2" borderId="0" xfId="1" applyNumberFormat="1" applyFont="1" applyFill="1"/>
    <xf numFmtId="1" fontId="2" fillId="2" borderId="0" xfId="1" applyNumberFormat="1" applyFont="1" applyFill="1"/>
    <xf numFmtId="1" fontId="5" fillId="2" borderId="0" xfId="1" quotePrefix="1" applyNumberFormat="1" applyFont="1" applyFill="1" applyAlignment="1">
      <alignment horizontal="right"/>
    </xf>
    <xf numFmtId="0" fontId="5" fillId="2" borderId="0" xfId="1" applyFont="1" applyFill="1"/>
    <xf numFmtId="49" fontId="2" fillId="2" borderId="0" xfId="1" applyNumberFormat="1" applyFont="1" applyFill="1"/>
    <xf numFmtId="164" fontId="2" fillId="2" borderId="0" xfId="1" applyNumberFormat="1" applyFont="1" applyFill="1"/>
    <xf numFmtId="1" fontId="2" fillId="2" borderId="0" xfId="1" applyNumberFormat="1" applyFont="1" applyFill="1" applyAlignment="1">
      <alignment horizontal="center"/>
    </xf>
    <xf numFmtId="49" fontId="2" fillId="2" borderId="0" xfId="1" applyNumberFormat="1" applyFont="1" applyFill="1" applyAlignment="1">
      <alignment horizontal="center"/>
    </xf>
    <xf numFmtId="0" fontId="2" fillId="0" borderId="0" xfId="1" applyFont="1" applyFill="1" applyAlignment="1">
      <alignment horizontal="center" vertical="center" textRotation="90" wrapText="1"/>
    </xf>
    <xf numFmtId="164" fontId="2" fillId="12" borderId="0" xfId="1" applyNumberFormat="1" applyFill="1" applyAlignment="1">
      <alignment horizontal="center"/>
    </xf>
    <xf numFmtId="1" fontId="2" fillId="12" borderId="0" xfId="1" applyNumberFormat="1" applyFill="1" applyAlignment="1">
      <alignment horizontal="center"/>
    </xf>
    <xf numFmtId="49" fontId="2" fillId="12" borderId="0" xfId="1" applyNumberFormat="1" applyFill="1" applyAlignment="1">
      <alignment horizontal="center"/>
    </xf>
    <xf numFmtId="164" fontId="2" fillId="12" borderId="13" xfId="1" applyNumberFormat="1" applyFill="1" applyBorder="1" applyAlignment="1">
      <alignment horizontal="center"/>
    </xf>
    <xf numFmtId="1" fontId="2" fillId="12" borderId="13" xfId="1" applyNumberFormat="1" applyFill="1" applyBorder="1" applyAlignment="1">
      <alignment horizontal="center"/>
    </xf>
    <xf numFmtId="49" fontId="2" fillId="12" borderId="13" xfId="1" applyNumberFormat="1" applyFill="1" applyBorder="1" applyAlignment="1">
      <alignment horizontal="center"/>
    </xf>
    <xf numFmtId="0" fontId="5" fillId="2" borderId="0" xfId="1" applyFont="1" applyFill="1" applyBorder="1" applyAlignment="1">
      <alignment horizontal="right"/>
    </xf>
    <xf numFmtId="49" fontId="5" fillId="2" borderId="0" xfId="1" applyNumberFormat="1" applyFont="1" applyFill="1" applyBorder="1" applyAlignment="1">
      <alignment horizontal="left"/>
    </xf>
    <xf numFmtId="164" fontId="2" fillId="11" borderId="0" xfId="1" applyNumberFormat="1" applyFill="1"/>
    <xf numFmtId="164" fontId="2" fillId="12" borderId="0" xfId="1" applyNumberFormat="1" applyFill="1"/>
    <xf numFmtId="164" fontId="2" fillId="0" borderId="0" xfId="1" applyNumberFormat="1"/>
    <xf numFmtId="49" fontId="2" fillId="0" borderId="0" xfId="1" applyNumberFormat="1" applyAlignment="1">
      <alignment horizontal="center"/>
    </xf>
    <xf numFmtId="164" fontId="2" fillId="12" borderId="13" xfId="1" applyNumberFormat="1" applyFill="1" applyBorder="1"/>
    <xf numFmtId="165" fontId="2" fillId="0" borderId="0" xfId="2" applyNumberFormat="1" applyFont="1" applyFill="1"/>
    <xf numFmtId="164" fontId="5" fillId="0" borderId="0" xfId="1" quotePrefix="1" applyNumberFormat="1" applyFont="1" applyFill="1" applyAlignment="1">
      <alignment horizontal="right"/>
    </xf>
    <xf numFmtId="0" fontId="2" fillId="13" borderId="0" xfId="1" applyFont="1" applyFill="1" applyAlignment="1">
      <alignment horizontal="center" vertical="center" textRotation="90" wrapText="1"/>
    </xf>
    <xf numFmtId="164" fontId="2" fillId="0" borderId="13" xfId="1" applyNumberFormat="1" applyFill="1" applyBorder="1"/>
    <xf numFmtId="1" fontId="2" fillId="0" borderId="13" xfId="1" applyNumberFormat="1" applyFill="1" applyBorder="1" applyAlignment="1">
      <alignment horizontal="center"/>
    </xf>
    <xf numFmtId="49" fontId="2" fillId="0" borderId="13" xfId="1" applyNumberFormat="1" applyFill="1" applyBorder="1" applyAlignment="1">
      <alignment horizontal="center"/>
    </xf>
    <xf numFmtId="1" fontId="11" fillId="0" borderId="0" xfId="1" applyNumberFormat="1" applyFont="1" applyBorder="1" applyAlignment="1">
      <alignment horizontal="center"/>
    </xf>
    <xf numFmtId="0" fontId="2" fillId="0" borderId="0" xfId="1" applyFont="1"/>
    <xf numFmtId="164" fontId="2" fillId="0" borderId="0" xfId="1" applyNumberFormat="1" applyFont="1" applyFill="1"/>
    <xf numFmtId="164" fontId="2" fillId="2" borderId="13" xfId="1" applyNumberFormat="1" applyFill="1" applyBorder="1" applyAlignment="1">
      <alignment horizontal="center"/>
    </xf>
    <xf numFmtId="1" fontId="2" fillId="2" borderId="13" xfId="1" applyNumberFormat="1" applyFill="1" applyBorder="1" applyAlignment="1">
      <alignment horizontal="center"/>
    </xf>
    <xf numFmtId="1" fontId="2" fillId="2" borderId="0" xfId="1" applyNumberFormat="1" applyFill="1" applyBorder="1" applyAlignment="1">
      <alignment horizontal="center"/>
    </xf>
    <xf numFmtId="49" fontId="2" fillId="2" borderId="0" xfId="1" applyNumberFormat="1" applyFill="1" applyBorder="1" applyAlignment="1">
      <alignment horizontal="center"/>
    </xf>
    <xf numFmtId="14" fontId="2" fillId="2" borderId="0" xfId="1" applyNumberFormat="1" applyFill="1" applyBorder="1" applyAlignment="1">
      <alignment horizontal="center"/>
    </xf>
    <xf numFmtId="14" fontId="2" fillId="2" borderId="13" xfId="1" applyNumberFormat="1" applyFill="1" applyBorder="1" applyAlignment="1">
      <alignment horizontal="center"/>
    </xf>
    <xf numFmtId="0" fontId="3" fillId="0" borderId="0" xfId="0" applyFont="1"/>
    <xf numFmtId="164" fontId="2" fillId="15" borderId="0" xfId="1" applyNumberFormat="1" applyFill="1"/>
    <xf numFmtId="164" fontId="2" fillId="15" borderId="13" xfId="1" applyNumberFormat="1" applyFill="1" applyBorder="1"/>
    <xf numFmtId="164" fontId="2" fillId="16" borderId="0" xfId="1" applyNumberFormat="1" applyFill="1"/>
    <xf numFmtId="164" fontId="2" fillId="7" borderId="0" xfId="1" applyNumberFormat="1" applyFill="1"/>
    <xf numFmtId="164" fontId="2" fillId="7" borderId="13" xfId="1" applyNumberFormat="1" applyFill="1" applyBorder="1"/>
    <xf numFmtId="49" fontId="2" fillId="0" borderId="0" xfId="1" applyNumberFormat="1" applyAlignment="1">
      <alignment horizontal="center" vertical="top"/>
    </xf>
    <xf numFmtId="1" fontId="2" fillId="0" borderId="0" xfId="1" applyNumberFormat="1" applyAlignment="1">
      <alignment horizontal="center" vertical="top"/>
    </xf>
    <xf numFmtId="164" fontId="2" fillId="0" borderId="0" xfId="1" applyNumberFormat="1" applyAlignment="1">
      <alignment vertical="top"/>
    </xf>
    <xf numFmtId="0" fontId="2" fillId="0" borderId="0" xfId="1" applyAlignment="1">
      <alignment vertical="top"/>
    </xf>
    <xf numFmtId="0" fontId="19" fillId="0" borderId="0" xfId="1" applyFont="1" applyFill="1" applyBorder="1" applyAlignment="1">
      <alignment horizontal="center" vertical="center" wrapText="1"/>
    </xf>
    <xf numFmtId="164" fontId="13" fillId="0" borderId="0" xfId="1" applyNumberFormat="1" applyFont="1" applyFill="1"/>
    <xf numFmtId="164" fontId="16" fillId="11" borderId="0" xfId="1" applyNumberFormat="1" applyFont="1" applyFill="1"/>
    <xf numFmtId="164" fontId="13" fillId="11" borderId="0" xfId="1" applyNumberFormat="1" applyFont="1" applyFill="1"/>
    <xf numFmtId="1" fontId="19" fillId="0" borderId="0" xfId="1" applyNumberFormat="1" applyFont="1" applyFill="1" applyBorder="1" applyAlignment="1">
      <alignment horizontal="center"/>
    </xf>
    <xf numFmtId="0" fontId="19" fillId="14" borderId="0" xfId="1" applyFont="1" applyFill="1" applyBorder="1" applyAlignment="1">
      <alignment vertical="center" wrapText="1"/>
    </xf>
    <xf numFmtId="1" fontId="1" fillId="0" borderId="0" xfId="4" applyNumberFormat="1"/>
    <xf numFmtId="0" fontId="1" fillId="0" borderId="0" xfId="4"/>
    <xf numFmtId="0" fontId="1" fillId="0" borderId="0" xfId="4" applyFill="1"/>
    <xf numFmtId="49" fontId="13" fillId="0" borderId="0" xfId="4" applyNumberFormat="1" applyFont="1"/>
    <xf numFmtId="49" fontId="5" fillId="11" borderId="0" xfId="4" applyNumberFormat="1" applyFont="1" applyFill="1"/>
    <xf numFmtId="0" fontId="5" fillId="11" borderId="0" xfId="4" applyFont="1" applyFill="1"/>
    <xf numFmtId="1" fontId="5" fillId="11" borderId="0" xfId="4" applyNumberFormat="1" applyFont="1" applyFill="1"/>
    <xf numFmtId="0" fontId="1" fillId="11" borderId="0" xfId="4" applyFill="1"/>
    <xf numFmtId="0" fontId="5" fillId="0" borderId="0" xfId="4" applyFont="1" applyFill="1"/>
    <xf numFmtId="49" fontId="5" fillId="0" borderId="0" xfId="4" applyNumberFormat="1" applyFont="1" applyBorder="1"/>
    <xf numFmtId="1" fontId="5" fillId="0" borderId="0" xfId="4" applyNumberFormat="1" applyFont="1" applyBorder="1"/>
    <xf numFmtId="9" fontId="1" fillId="0" borderId="0" xfId="4" applyNumberFormat="1" applyFill="1"/>
    <xf numFmtId="165" fontId="5" fillId="0" borderId="0" xfId="4" applyNumberFormat="1" applyFont="1" applyBorder="1"/>
    <xf numFmtId="49" fontId="5" fillId="0" borderId="0" xfId="4" applyNumberFormat="1" applyFont="1" applyBorder="1" applyAlignment="1">
      <alignment horizontal="left"/>
    </xf>
    <xf numFmtId="0" fontId="5" fillId="0" borderId="0" xfId="4" applyFont="1" applyBorder="1" applyAlignment="1">
      <alignment horizontal="right"/>
    </xf>
    <xf numFmtId="0" fontId="1" fillId="0" borderId="0" xfId="4" applyFont="1"/>
    <xf numFmtId="1" fontId="1" fillId="0" borderId="0" xfId="4" applyNumberFormat="1" applyFill="1"/>
    <xf numFmtId="49" fontId="5" fillId="0" borderId="0" xfId="4" applyNumberFormat="1" applyFont="1" applyAlignment="1">
      <alignment horizontal="left"/>
    </xf>
    <xf numFmtId="0" fontId="5" fillId="0" borderId="0" xfId="4" applyFont="1" applyAlignment="1">
      <alignment horizontal="right"/>
    </xf>
    <xf numFmtId="49" fontId="1" fillId="0" borderId="0" xfId="4" applyNumberFormat="1" applyBorder="1"/>
    <xf numFmtId="0" fontId="1" fillId="0" borderId="0" xfId="4" applyBorder="1"/>
    <xf numFmtId="1" fontId="1" fillId="0" borderId="0" xfId="4" applyNumberFormat="1" applyBorder="1"/>
    <xf numFmtId="0" fontId="1" fillId="13" borderId="0" xfId="4" applyFill="1" applyBorder="1"/>
    <xf numFmtId="49" fontId="11" fillId="0" borderId="0" xfId="4" applyNumberFormat="1" applyFont="1" applyBorder="1" applyAlignment="1">
      <alignment horizontal="center" vertical="center" wrapText="1"/>
    </xf>
    <xf numFmtId="0" fontId="11" fillId="0" borderId="0" xfId="4" applyFont="1" applyBorder="1" applyAlignment="1">
      <alignment horizontal="center" vertical="center" wrapText="1"/>
    </xf>
    <xf numFmtId="1" fontId="11" fillId="0" borderId="0" xfId="4" applyNumberFormat="1" applyFont="1" applyBorder="1" applyAlignment="1">
      <alignment horizontal="center" vertical="center" wrapText="1"/>
    </xf>
    <xf numFmtId="0" fontId="10" fillId="0" borderId="0" xfId="4" applyFont="1" applyBorder="1" applyAlignment="1">
      <alignment wrapText="1"/>
    </xf>
    <xf numFmtId="0" fontId="10" fillId="13" borderId="0" xfId="4" applyFont="1" applyFill="1" applyBorder="1" applyAlignment="1">
      <alignment wrapText="1"/>
    </xf>
    <xf numFmtId="49" fontId="11" fillId="2" borderId="0" xfId="4" applyNumberFormat="1" applyFont="1" applyFill="1" applyBorder="1" applyAlignment="1">
      <alignment horizontal="center" vertical="center" wrapText="1"/>
    </xf>
    <xf numFmtId="0" fontId="11" fillId="2" borderId="0" xfId="4" applyFont="1" applyFill="1" applyBorder="1" applyAlignment="1">
      <alignment horizontal="center" vertical="center" wrapText="1"/>
    </xf>
    <xf numFmtId="1" fontId="11" fillId="2" borderId="0" xfId="4" applyNumberFormat="1" applyFont="1" applyFill="1" applyBorder="1" applyAlignment="1">
      <alignment horizontal="center" vertical="center" wrapText="1"/>
    </xf>
    <xf numFmtId="49" fontId="1" fillId="0" borderId="0" xfId="4" applyNumberFormat="1"/>
    <xf numFmtId="0" fontId="1" fillId="13" borderId="0" xfId="4" applyFill="1"/>
    <xf numFmtId="49" fontId="1" fillId="2" borderId="0" xfId="4" applyNumberFormat="1" applyFill="1"/>
    <xf numFmtId="0" fontId="1" fillId="2" borderId="0" xfId="4" applyFill="1"/>
    <xf numFmtId="1" fontId="1" fillId="2" borderId="0" xfId="4" applyNumberFormat="1" applyFill="1"/>
    <xf numFmtId="49" fontId="1" fillId="0" borderId="0" xfId="4" applyNumberFormat="1" applyAlignment="1">
      <alignment horizontal="center"/>
    </xf>
    <xf numFmtId="2" fontId="1" fillId="0" borderId="0" xfId="4" applyNumberFormat="1"/>
    <xf numFmtId="49" fontId="1" fillId="2" borderId="0" xfId="4" applyNumberFormat="1" applyFill="1" applyAlignment="1">
      <alignment horizontal="center"/>
    </xf>
    <xf numFmtId="2" fontId="1" fillId="2" borderId="0" xfId="4" applyNumberFormat="1" applyFill="1"/>
    <xf numFmtId="1" fontId="1" fillId="0" borderId="0" xfId="4" applyNumberFormat="1" applyAlignment="1">
      <alignment horizontal="center"/>
    </xf>
    <xf numFmtId="1" fontId="1" fillId="2" borderId="0" xfId="4" applyNumberFormat="1" applyFill="1" applyAlignment="1">
      <alignment horizontal="center"/>
    </xf>
    <xf numFmtId="164" fontId="1" fillId="0" borderId="0" xfId="4" applyNumberFormat="1"/>
    <xf numFmtId="164" fontId="1" fillId="2" borderId="0" xfId="4" applyNumberFormat="1" applyFill="1" applyAlignment="1">
      <alignment horizontal="center"/>
    </xf>
    <xf numFmtId="2" fontId="1" fillId="2" borderId="0" xfId="4" applyNumberFormat="1" applyFill="1" applyAlignment="1">
      <alignment horizontal="center"/>
    </xf>
    <xf numFmtId="1" fontId="1" fillId="0" borderId="0" xfId="4" applyNumberFormat="1" applyFill="1" applyAlignment="1">
      <alignment horizontal="center"/>
    </xf>
    <xf numFmtId="1" fontId="1" fillId="2" borderId="0" xfId="4" applyNumberFormat="1" applyFill="1" applyBorder="1" applyAlignment="1">
      <alignment horizontal="center"/>
    </xf>
    <xf numFmtId="164" fontId="1" fillId="0" borderId="0" xfId="4" applyNumberFormat="1" applyFill="1"/>
    <xf numFmtId="164" fontId="1" fillId="2" borderId="0" xfId="4" applyNumberFormat="1" applyFill="1" applyBorder="1" applyAlignment="1">
      <alignment horizontal="center"/>
    </xf>
    <xf numFmtId="2" fontId="1" fillId="2" borderId="0" xfId="4" applyNumberFormat="1" applyFill="1" applyBorder="1" applyAlignment="1">
      <alignment horizontal="center"/>
    </xf>
    <xf numFmtId="49" fontId="1" fillId="0" borderId="0" xfId="4" applyNumberFormat="1" applyBorder="1" applyAlignment="1">
      <alignment horizontal="center"/>
    </xf>
    <xf numFmtId="1" fontId="1" fillId="0" borderId="0" xfId="4" applyNumberFormat="1" applyFill="1" applyBorder="1" applyAlignment="1">
      <alignment horizontal="center"/>
    </xf>
    <xf numFmtId="164" fontId="1" fillId="0" borderId="0" xfId="4" applyNumberFormat="1" applyBorder="1"/>
    <xf numFmtId="164" fontId="1" fillId="0" borderId="0" xfId="4" applyNumberFormat="1" applyFill="1" applyBorder="1"/>
    <xf numFmtId="164" fontId="1" fillId="7" borderId="0" xfId="4" applyNumberFormat="1" applyFill="1"/>
    <xf numFmtId="0" fontId="1" fillId="0" borderId="0" xfId="4" applyFont="1" applyFill="1"/>
    <xf numFmtId="49" fontId="1" fillId="0" borderId="13" xfId="4" applyNumberFormat="1" applyBorder="1" applyAlignment="1">
      <alignment horizontal="center"/>
    </xf>
    <xf numFmtId="1" fontId="1" fillId="0" borderId="13" xfId="4" applyNumberFormat="1" applyBorder="1" applyAlignment="1">
      <alignment horizontal="center"/>
    </xf>
    <xf numFmtId="0" fontId="16" fillId="0" borderId="0" xfId="4" applyFont="1" applyFill="1"/>
    <xf numFmtId="164" fontId="16" fillId="0" borderId="0" xfId="4" applyNumberFormat="1" applyFont="1" applyFill="1"/>
    <xf numFmtId="164" fontId="13" fillId="0" borderId="0" xfId="4" applyNumberFormat="1" applyFont="1" applyFill="1"/>
    <xf numFmtId="164" fontId="1" fillId="0" borderId="16" xfId="4" applyNumberFormat="1" applyBorder="1"/>
    <xf numFmtId="0" fontId="5" fillId="0" borderId="0" xfId="1" applyFont="1" applyFill="1" applyBorder="1"/>
    <xf numFmtId="0" fontId="2" fillId="0" borderId="0" xfId="1" applyFont="1" applyFill="1" applyBorder="1" applyAlignment="1">
      <alignment horizontal="center" wrapText="1"/>
    </xf>
    <xf numFmtId="9" fontId="2" fillId="0" borderId="0" xfId="1" applyNumberFormat="1" applyFill="1" applyBorder="1"/>
    <xf numFmtId="1" fontId="2" fillId="0" borderId="0" xfId="1" quotePrefix="1" applyNumberFormat="1" applyFont="1" applyFill="1" applyBorder="1" applyAlignment="1">
      <alignment horizontal="center"/>
    </xf>
    <xf numFmtId="0" fontId="2" fillId="0" borderId="0" xfId="1" applyFont="1" applyFill="1" applyBorder="1"/>
    <xf numFmtId="0" fontId="11" fillId="12" borderId="0" xfId="1" applyFont="1" applyFill="1" applyBorder="1" applyAlignment="1">
      <alignment horizontal="center" vertical="center" wrapText="1"/>
    </xf>
    <xf numFmtId="164" fontId="1" fillId="13" borderId="0" xfId="4" applyNumberFormat="1" applyFill="1"/>
    <xf numFmtId="164" fontId="1" fillId="13" borderId="0" xfId="4" applyNumberFormat="1" applyFont="1" applyFill="1" applyAlignment="1">
      <alignment horizontal="center" vertical="center" textRotation="90" wrapText="1"/>
    </xf>
    <xf numFmtId="164" fontId="1" fillId="7" borderId="0" xfId="4" applyNumberFormat="1" applyFill="1" applyAlignment="1">
      <alignment horizontal="center"/>
    </xf>
    <xf numFmtId="164" fontId="1" fillId="0" borderId="0" xfId="4" applyNumberFormat="1" applyFont="1" applyFill="1"/>
    <xf numFmtId="164" fontId="5" fillId="0" borderId="0" xfId="4" applyNumberFormat="1" applyFont="1" applyFill="1"/>
    <xf numFmtId="164" fontId="5" fillId="0" borderId="0" xfId="4" applyNumberFormat="1" applyFont="1" applyFill="1" applyAlignment="1">
      <alignment wrapText="1"/>
    </xf>
    <xf numFmtId="164" fontId="1" fillId="2" borderId="13" xfId="4" applyNumberFormat="1" applyFill="1" applyBorder="1" applyAlignment="1">
      <alignment horizontal="center"/>
    </xf>
    <xf numFmtId="164" fontId="1" fillId="0" borderId="13" xfId="4" applyNumberFormat="1" applyBorder="1"/>
    <xf numFmtId="164" fontId="1" fillId="13" borderId="13" xfId="4" applyNumberFormat="1" applyFill="1" applyBorder="1"/>
    <xf numFmtId="164" fontId="5" fillId="0" borderId="0" xfId="1" applyNumberFormat="1" applyFont="1" applyFill="1" applyAlignment="1">
      <alignment horizontal="right"/>
    </xf>
    <xf numFmtId="0" fontId="0" fillId="0" borderId="0" xfId="0" applyBorder="1"/>
    <xf numFmtId="0" fontId="0" fillId="0" borderId="0" xfId="0" applyAlignment="1">
      <alignment vertical="center"/>
    </xf>
    <xf numFmtId="164" fontId="5" fillId="2" borderId="0" xfId="1" applyNumberFormat="1" applyFont="1" applyFill="1" applyAlignment="1">
      <alignment horizontal="right"/>
    </xf>
    <xf numFmtId="164" fontId="2" fillId="13" borderId="0" xfId="1" applyNumberFormat="1" applyFill="1"/>
    <xf numFmtId="164" fontId="2" fillId="13" borderId="0" xfId="1" applyNumberFormat="1" applyFont="1" applyFill="1" applyAlignment="1">
      <alignment horizontal="center" vertical="center" textRotation="90" wrapText="1"/>
    </xf>
    <xf numFmtId="164" fontId="2" fillId="12" borderId="0" xfId="1" applyNumberFormat="1" applyFont="1" applyFill="1" applyAlignment="1">
      <alignment horizontal="center" vertical="center" textRotation="90" wrapText="1"/>
    </xf>
    <xf numFmtId="164" fontId="2" fillId="13" borderId="0" xfId="1" applyNumberFormat="1" applyFont="1" applyFill="1"/>
    <xf numFmtId="164" fontId="2" fillId="0" borderId="0" xfId="1" applyNumberFormat="1" applyFont="1" applyFill="1" applyAlignment="1">
      <alignment vertical="center" textRotation="90" wrapText="1"/>
    </xf>
    <xf numFmtId="164" fontId="2" fillId="0" borderId="0" xfId="1" applyNumberFormat="1" applyFill="1" applyAlignment="1">
      <alignment vertical="top"/>
    </xf>
    <xf numFmtId="164" fontId="2" fillId="13" borderId="0" xfId="1" applyNumberFormat="1" applyFill="1" applyAlignment="1">
      <alignment vertical="top"/>
    </xf>
    <xf numFmtId="164" fontId="5" fillId="0" borderId="0" xfId="1" applyNumberFormat="1" applyFont="1" applyAlignment="1">
      <alignment horizontal="right"/>
    </xf>
    <xf numFmtId="164" fontId="2" fillId="0" borderId="0" xfId="1" applyNumberFormat="1" applyBorder="1"/>
    <xf numFmtId="0" fontId="5" fillId="2" borderId="0" xfId="1" applyFont="1" applyFill="1" applyAlignment="1">
      <alignment horizontal="center"/>
    </xf>
    <xf numFmtId="1" fontId="11" fillId="12" borderId="0" xfId="1" applyNumberFormat="1" applyFont="1" applyFill="1" applyBorder="1" applyAlignment="1">
      <alignment horizontal="center" vertical="center" wrapText="1"/>
    </xf>
    <xf numFmtId="0" fontId="19" fillId="14" borderId="0" xfId="1" applyFont="1" applyFill="1" applyBorder="1" applyAlignment="1">
      <alignment horizontal="center" vertical="center" wrapText="1"/>
    </xf>
    <xf numFmtId="164" fontId="23" fillId="4" borderId="0" xfId="1" applyNumberFormat="1" applyFont="1" applyFill="1" applyBorder="1" applyAlignment="1">
      <alignment horizontal="center"/>
    </xf>
    <xf numFmtId="0" fontId="1" fillId="0" borderId="0" xfId="1" applyFont="1"/>
    <xf numFmtId="0" fontId="2" fillId="4" borderId="0" xfId="1" applyFill="1"/>
    <xf numFmtId="49" fontId="24" fillId="18" borderId="0" xfId="1" applyNumberFormat="1" applyFont="1" applyFill="1"/>
    <xf numFmtId="0" fontId="24" fillId="18" borderId="0" xfId="1" applyFont="1" applyFill="1"/>
    <xf numFmtId="1" fontId="2" fillId="18" borderId="0" xfId="1" applyNumberFormat="1" applyFill="1"/>
    <xf numFmtId="0" fontId="2" fillId="18" borderId="0" xfId="1" applyFill="1"/>
    <xf numFmtId="49" fontId="14" fillId="0" borderId="0" xfId="1" applyNumberFormat="1" applyFont="1" applyAlignment="1">
      <alignment vertical="top"/>
    </xf>
    <xf numFmtId="0" fontId="2" fillId="0" borderId="0" xfId="1" applyAlignment="1">
      <alignment horizontal="left" vertical="top"/>
    </xf>
    <xf numFmtId="1" fontId="2" fillId="0" borderId="0" xfId="1" applyNumberFormat="1" applyAlignment="1">
      <alignment vertical="top"/>
    </xf>
    <xf numFmtId="2" fontId="2" fillId="18" borderId="0" xfId="1" applyNumberFormat="1" applyFill="1"/>
    <xf numFmtId="0" fontId="5" fillId="18" borderId="0" xfId="1" applyFont="1" applyFill="1" applyAlignment="1">
      <alignment horizontal="right"/>
    </xf>
    <xf numFmtId="164" fontId="5" fillId="18" borderId="0" xfId="1" applyNumberFormat="1" applyFont="1" applyFill="1" applyAlignment="1">
      <alignment horizontal="center"/>
    </xf>
    <xf numFmtId="164" fontId="24" fillId="4" borderId="0" xfId="1" applyNumberFormat="1" applyFont="1" applyFill="1" applyBorder="1" applyAlignment="1">
      <alignment horizontal="center"/>
    </xf>
    <xf numFmtId="0" fontId="21" fillId="4" borderId="15" xfId="1" applyFont="1" applyFill="1" applyBorder="1" applyAlignment="1">
      <alignment horizontal="center" vertical="center" wrapText="1"/>
    </xf>
    <xf numFmtId="0" fontId="23" fillId="4" borderId="15" xfId="1" applyFont="1" applyFill="1" applyBorder="1"/>
    <xf numFmtId="0" fontId="25" fillId="4" borderId="15" xfId="1" applyFont="1" applyFill="1" applyBorder="1" applyAlignment="1">
      <alignment horizontal="center" vertical="center" wrapText="1"/>
    </xf>
    <xf numFmtId="164" fontId="25" fillId="4" borderId="15" xfId="1" applyNumberFormat="1" applyFont="1" applyFill="1" applyBorder="1" applyAlignment="1">
      <alignment horizontal="center" vertical="center" wrapText="1"/>
    </xf>
    <xf numFmtId="0" fontId="16" fillId="4" borderId="15" xfId="1" applyFont="1" applyFill="1" applyBorder="1"/>
    <xf numFmtId="0" fontId="1" fillId="0" borderId="0" xfId="1" applyFont="1" applyAlignment="1">
      <alignment wrapText="1"/>
    </xf>
    <xf numFmtId="0" fontId="26" fillId="0" borderId="0" xfId="0" applyFont="1" applyAlignment="1">
      <alignment horizontal="left" vertical="center"/>
    </xf>
    <xf numFmtId="0" fontId="27" fillId="0" borderId="0" xfId="0" applyFont="1" applyAlignment="1">
      <alignment horizontal="left" vertical="center"/>
    </xf>
    <xf numFmtId="0" fontId="27" fillId="0" borderId="0" xfId="0" applyFont="1" applyAlignment="1">
      <alignment horizontal="left"/>
    </xf>
    <xf numFmtId="0" fontId="1" fillId="0" borderId="0" xfId="1" applyFont="1" applyFill="1"/>
    <xf numFmtId="0" fontId="5" fillId="0" borderId="0" xfId="0" applyFont="1"/>
    <xf numFmtId="0" fontId="0" fillId="11" borderId="0" xfId="0" applyFill="1"/>
    <xf numFmtId="0" fontId="1" fillId="0" borderId="0" xfId="0" applyFont="1" applyFill="1"/>
    <xf numFmtId="0" fontId="0" fillId="0" borderId="0" xfId="0" applyFill="1"/>
    <xf numFmtId="1" fontId="5" fillId="11" borderId="0" xfId="1" applyNumberFormat="1" applyFont="1" applyFill="1" applyBorder="1"/>
    <xf numFmtId="49" fontId="24" fillId="18" borderId="0" xfId="1" applyNumberFormat="1" applyFont="1" applyFill="1" applyBorder="1"/>
    <xf numFmtId="0" fontId="24" fillId="18" borderId="0" xfId="1" applyFont="1" applyFill="1" applyBorder="1"/>
    <xf numFmtId="1" fontId="2" fillId="18" borderId="0" xfId="1" applyNumberFormat="1" applyFill="1" applyBorder="1"/>
    <xf numFmtId="0" fontId="2" fillId="18" borderId="0" xfId="1" applyFill="1" applyBorder="1"/>
    <xf numFmtId="0" fontId="4" fillId="0" borderId="0" xfId="0" applyFont="1" applyBorder="1"/>
    <xf numFmtId="0" fontId="1" fillId="0" borderId="0" xfId="0" applyFont="1" applyBorder="1"/>
    <xf numFmtId="0" fontId="5" fillId="0" borderId="0" xfId="1" applyFont="1" applyBorder="1"/>
    <xf numFmtId="9" fontId="2" fillId="0" borderId="0" xfId="1" applyNumberFormat="1" applyBorder="1"/>
    <xf numFmtId="0" fontId="4" fillId="0" borderId="0" xfId="0" applyFont="1" applyBorder="1" applyAlignment="1">
      <alignment vertical="top"/>
    </xf>
    <xf numFmtId="49" fontId="2" fillId="11" borderId="0" xfId="1" applyNumberFormat="1" applyFill="1" applyAlignment="1">
      <alignment horizontal="center"/>
    </xf>
    <xf numFmtId="1" fontId="2" fillId="11" borderId="0" xfId="1" applyNumberFormat="1" applyFill="1" applyAlignment="1">
      <alignment horizontal="center"/>
    </xf>
    <xf numFmtId="0" fontId="5" fillId="0" borderId="0" xfId="0" applyFont="1" applyBorder="1"/>
    <xf numFmtId="164" fontId="2" fillId="11" borderId="0" xfId="1" applyNumberFormat="1" applyFill="1" applyBorder="1"/>
    <xf numFmtId="0" fontId="0" fillId="11" borderId="0" xfId="0" applyFill="1" applyBorder="1"/>
    <xf numFmtId="0" fontId="1" fillId="0" borderId="0" xfId="0" quotePrefix="1" applyFont="1" applyFill="1" applyBorder="1" applyAlignment="1">
      <alignment wrapText="1"/>
    </xf>
    <xf numFmtId="49" fontId="2" fillId="12" borderId="0" xfId="1" applyNumberFormat="1" applyFill="1" applyBorder="1"/>
    <xf numFmtId="0" fontId="2" fillId="12" borderId="0" xfId="1" applyFill="1" applyBorder="1"/>
    <xf numFmtId="1" fontId="2" fillId="12" borderId="0" xfId="1" applyNumberFormat="1" applyFill="1" applyBorder="1"/>
    <xf numFmtId="49" fontId="11" fillId="12" borderId="0" xfId="1" applyNumberFormat="1" applyFont="1" applyFill="1" applyBorder="1" applyAlignment="1">
      <alignment horizontal="center" vertical="center" wrapText="1"/>
    </xf>
    <xf numFmtId="0" fontId="19" fillId="17" borderId="0" xfId="1" applyFont="1" applyFill="1" applyBorder="1" applyAlignment="1">
      <alignment horizontal="center" vertical="center" wrapText="1"/>
    </xf>
    <xf numFmtId="164" fontId="1" fillId="0" borderId="0" xfId="1" applyNumberFormat="1" applyFont="1" applyFill="1"/>
    <xf numFmtId="165" fontId="5" fillId="11" borderId="0" xfId="1" applyNumberFormat="1" applyFont="1" applyFill="1" applyBorder="1"/>
    <xf numFmtId="0" fontId="5" fillId="11" borderId="0" xfId="1" applyFont="1" applyFill="1" applyBorder="1" applyAlignment="1">
      <alignment horizontal="right"/>
    </xf>
    <xf numFmtId="9" fontId="2" fillId="11" borderId="0" xfId="1" applyNumberFormat="1" applyFill="1" applyBorder="1"/>
    <xf numFmtId="164" fontId="6" fillId="0" borderId="20" xfId="1" applyNumberFormat="1" applyFont="1" applyFill="1" applyBorder="1"/>
    <xf numFmtId="0" fontId="0" fillId="0" borderId="20" xfId="0" applyBorder="1"/>
    <xf numFmtId="164" fontId="2" fillId="11" borderId="17" xfId="1" applyNumberFormat="1" applyFill="1" applyBorder="1"/>
    <xf numFmtId="49" fontId="28" fillId="11" borderId="0" xfId="1" applyNumberFormat="1" applyFont="1" applyFill="1" applyBorder="1" applyAlignment="1">
      <alignment horizontal="left"/>
    </xf>
    <xf numFmtId="49" fontId="2" fillId="11" borderId="17" xfId="1" applyNumberFormat="1" applyFill="1" applyBorder="1" applyAlignment="1">
      <alignment horizontal="center"/>
    </xf>
    <xf numFmtId="1" fontId="2" fillId="11" borderId="17" xfId="1" applyNumberFormat="1" applyFill="1" applyBorder="1" applyAlignment="1">
      <alignment horizontal="center"/>
    </xf>
    <xf numFmtId="0" fontId="16" fillId="0" borderId="0" xfId="0" applyFont="1" applyAlignment="1">
      <alignment wrapText="1"/>
    </xf>
    <xf numFmtId="0" fontId="5" fillId="0" borderId="0" xfId="0" applyFont="1" applyAlignment="1">
      <alignment vertical="center"/>
    </xf>
    <xf numFmtId="0" fontId="4" fillId="18" borderId="19" xfId="0" applyFont="1" applyFill="1" applyBorder="1" applyAlignment="1">
      <alignment horizontal="left" vertical="center"/>
    </xf>
    <xf numFmtId="0" fontId="4" fillId="18" borderId="20" xfId="0" applyFont="1" applyFill="1" applyBorder="1" applyAlignment="1">
      <alignment vertical="center" wrapText="1"/>
    </xf>
    <xf numFmtId="0" fontId="0" fillId="18" borderId="20" xfId="0" applyFill="1" applyBorder="1"/>
    <xf numFmtId="0" fontId="5" fillId="0" borderId="0" xfId="0" applyFont="1" applyFill="1" applyAlignment="1">
      <alignment horizontal="center" vertical="center" wrapText="1"/>
    </xf>
    <xf numFmtId="0" fontId="5" fillId="11" borderId="0" xfId="0" applyFont="1" applyFill="1" applyAlignment="1">
      <alignment horizontal="left"/>
    </xf>
    <xf numFmtId="0" fontId="5" fillId="0" borderId="0" xfId="0" applyFont="1" applyFill="1" applyAlignment="1">
      <alignment vertical="center"/>
    </xf>
    <xf numFmtId="0" fontId="0" fillId="0" borderId="0" xfId="0" applyFill="1" applyAlignment="1">
      <alignment vertical="center"/>
    </xf>
    <xf numFmtId="0" fontId="5" fillId="0" borderId="0" xfId="0" applyFont="1" applyFill="1" applyAlignment="1">
      <alignment horizontal="left" vertical="center"/>
    </xf>
    <xf numFmtId="0" fontId="4" fillId="0" borderId="0" xfId="0" quotePrefix="1" applyFont="1" applyFill="1" applyBorder="1" applyAlignment="1">
      <alignment vertical="center" wrapText="1"/>
    </xf>
    <xf numFmtId="49" fontId="24" fillId="0" borderId="0" xfId="1" applyNumberFormat="1" applyFont="1" applyFill="1"/>
    <xf numFmtId="0" fontId="24" fillId="0" borderId="0" xfId="1" applyFont="1" applyFill="1"/>
    <xf numFmtId="0" fontId="4" fillId="18" borderId="20" xfId="0" applyFont="1" applyFill="1" applyBorder="1" applyAlignment="1">
      <alignment horizontal="center" vertical="center" wrapText="1"/>
    </xf>
    <xf numFmtId="2" fontId="6" fillId="18" borderId="0" xfId="1" applyNumberFormat="1" applyFont="1" applyFill="1"/>
    <xf numFmtId="0" fontId="4" fillId="18" borderId="0" xfId="1" applyFont="1" applyFill="1" applyAlignment="1">
      <alignment horizontal="right"/>
    </xf>
    <xf numFmtId="164" fontId="4" fillId="18" borderId="0" xfId="1" applyNumberFormat="1" applyFont="1" applyFill="1" applyAlignment="1">
      <alignment horizontal="center"/>
    </xf>
    <xf numFmtId="0" fontId="4" fillId="18" borderId="0" xfId="1" applyFont="1" applyFill="1"/>
    <xf numFmtId="0" fontId="5" fillId="18" borderId="0" xfId="1" applyFont="1" applyFill="1" applyAlignment="1">
      <alignment wrapText="1"/>
    </xf>
    <xf numFmtId="0" fontId="4" fillId="18" borderId="0" xfId="1" applyFont="1" applyFill="1" applyAlignment="1">
      <alignment wrapText="1"/>
    </xf>
    <xf numFmtId="164" fontId="23" fillId="4" borderId="15" xfId="1" applyNumberFormat="1" applyFont="1" applyFill="1" applyBorder="1" applyAlignment="1">
      <alignment horizontal="center"/>
    </xf>
    <xf numFmtId="164" fontId="24" fillId="4" borderId="0" xfId="1" applyNumberFormat="1" applyFont="1" applyFill="1" applyAlignment="1">
      <alignment horizontal="center"/>
    </xf>
    <xf numFmtId="164" fontId="2" fillId="0" borderId="0" xfId="1" applyNumberFormat="1" applyFont="1" applyFill="1" applyAlignment="1">
      <alignment horizontal="center"/>
    </xf>
    <xf numFmtId="2" fontId="4" fillId="18" borderId="0" xfId="1" applyNumberFormat="1" applyFont="1" applyFill="1" applyAlignment="1">
      <alignment horizontal="right"/>
    </xf>
    <xf numFmtId="164" fontId="4" fillId="18" borderId="0" xfId="1" quotePrefix="1" applyNumberFormat="1" applyFont="1" applyFill="1" applyAlignment="1">
      <alignment horizontal="right"/>
    </xf>
    <xf numFmtId="2" fontId="6" fillId="19" borderId="0" xfId="1" applyNumberFormat="1" applyFont="1" applyFill="1"/>
    <xf numFmtId="2" fontId="6" fillId="0" borderId="0" xfId="1" applyNumberFormat="1" applyFont="1" applyFill="1"/>
    <xf numFmtId="2" fontId="4" fillId="0" borderId="0" xfId="1" applyNumberFormat="1" applyFont="1" applyFill="1" applyAlignment="1">
      <alignment horizontal="right"/>
    </xf>
    <xf numFmtId="164" fontId="4" fillId="0" borderId="0" xfId="1" quotePrefix="1" applyNumberFormat="1" applyFont="1" applyFill="1" applyAlignment="1">
      <alignment horizontal="right"/>
    </xf>
    <xf numFmtId="0" fontId="30" fillId="4" borderId="0" xfId="1" applyFont="1" applyFill="1" applyBorder="1" applyAlignment="1">
      <alignment wrapText="1"/>
    </xf>
    <xf numFmtId="0" fontId="21" fillId="4" borderId="0" xfId="1" applyFont="1" applyFill="1" applyBorder="1" applyAlignment="1">
      <alignment horizontal="center" wrapText="1"/>
    </xf>
    <xf numFmtId="0" fontId="23" fillId="4" borderId="0" xfId="1" applyFont="1" applyFill="1"/>
    <xf numFmtId="0" fontId="6" fillId="4" borderId="0" xfId="1" applyFont="1" applyFill="1"/>
    <xf numFmtId="0" fontId="35" fillId="4" borderId="0" xfId="1" applyFont="1" applyFill="1" applyAlignment="1">
      <alignment horizontal="center"/>
    </xf>
    <xf numFmtId="164" fontId="4" fillId="4" borderId="0" xfId="1" applyNumberFormat="1" applyFont="1" applyFill="1"/>
    <xf numFmtId="164" fontId="24" fillId="4" borderId="0" xfId="1" applyNumberFormat="1" applyFont="1" applyFill="1"/>
    <xf numFmtId="164" fontId="4" fillId="18" borderId="0" xfId="1" applyNumberFormat="1" applyFont="1" applyFill="1"/>
    <xf numFmtId="0" fontId="4" fillId="0" borderId="0" xfId="1" applyFont="1" applyFill="1"/>
    <xf numFmtId="0" fontId="4" fillId="0" borderId="0" xfId="1" applyFont="1" applyFill="1" applyAlignment="1">
      <alignment horizontal="right"/>
    </xf>
    <xf numFmtId="164" fontId="4" fillId="0" borderId="0" xfId="1" applyNumberFormat="1" applyFont="1" applyFill="1"/>
    <xf numFmtId="0" fontId="6" fillId="18" borderId="0" xfId="1" applyFont="1" applyFill="1"/>
    <xf numFmtId="164" fontId="4" fillId="18" borderId="0" xfId="1" applyNumberFormat="1" applyFont="1" applyFill="1" applyAlignment="1">
      <alignment horizontal="right" wrapText="1"/>
    </xf>
    <xf numFmtId="0" fontId="6" fillId="4" borderId="15" xfId="1" applyFont="1" applyFill="1" applyBorder="1"/>
    <xf numFmtId="164" fontId="6" fillId="4" borderId="15" xfId="1" applyNumberFormat="1" applyFont="1" applyFill="1" applyBorder="1"/>
    <xf numFmtId="164" fontId="4" fillId="4" borderId="0" xfId="1" applyNumberFormat="1" applyFont="1" applyFill="1" applyAlignment="1">
      <alignment horizontal="right"/>
    </xf>
    <xf numFmtId="0" fontId="5" fillId="0" borderId="0" xfId="1" applyFont="1" applyFill="1" applyAlignment="1">
      <alignment horizontal="center"/>
    </xf>
    <xf numFmtId="0" fontId="2" fillId="0" borderId="0" xfId="1" applyFill="1" applyAlignment="1">
      <alignment vertical="top"/>
    </xf>
    <xf numFmtId="164" fontId="13" fillId="4" borderId="0" xfId="1" applyNumberFormat="1" applyFont="1" applyFill="1" applyAlignment="1">
      <alignment horizontal="right"/>
    </xf>
    <xf numFmtId="2" fontId="5" fillId="18" borderId="0" xfId="1" applyNumberFormat="1" applyFont="1" applyFill="1"/>
    <xf numFmtId="0" fontId="21" fillId="4" borderId="0" xfId="1" applyFont="1" applyFill="1" applyBorder="1" applyAlignment="1">
      <alignment horizontal="center" vertical="center" wrapText="1"/>
    </xf>
    <xf numFmtId="164" fontId="24" fillId="4" borderId="0" xfId="1" applyNumberFormat="1" applyFont="1" applyFill="1" applyAlignment="1">
      <alignment horizontal="right"/>
    </xf>
    <xf numFmtId="0" fontId="2" fillId="13" borderId="0" xfId="1" applyFill="1" applyAlignment="1">
      <alignment vertical="top"/>
    </xf>
    <xf numFmtId="0" fontId="4" fillId="19" borderId="0" xfId="1" applyFont="1" applyFill="1" applyAlignment="1">
      <alignment horizontal="right"/>
    </xf>
    <xf numFmtId="164" fontId="4" fillId="19" borderId="0" xfId="1" applyNumberFormat="1" applyFont="1" applyFill="1"/>
    <xf numFmtId="0" fontId="21" fillId="20" borderId="0" xfId="1" applyFont="1" applyFill="1" applyBorder="1" applyAlignment="1">
      <alignment vertical="center" wrapText="1"/>
    </xf>
    <xf numFmtId="0" fontId="21" fillId="20" borderId="0" xfId="1" applyFont="1" applyFill="1" applyBorder="1" applyAlignment="1">
      <alignment horizontal="center" vertical="center" wrapText="1"/>
    </xf>
    <xf numFmtId="0" fontId="23" fillId="20" borderId="0" xfId="1" applyFont="1" applyFill="1"/>
    <xf numFmtId="164" fontId="23" fillId="20" borderId="0" xfId="1" applyNumberFormat="1" applyFont="1" applyFill="1"/>
    <xf numFmtId="164" fontId="23" fillId="20" borderId="0" xfId="1" applyNumberFormat="1" applyFont="1" applyFill="1" applyBorder="1"/>
    <xf numFmtId="164" fontId="24" fillId="20" borderId="0" xfId="1" applyNumberFormat="1" applyFont="1" applyFill="1" applyAlignment="1">
      <alignment horizontal="right"/>
    </xf>
    <xf numFmtId="164" fontId="6" fillId="20" borderId="0" xfId="1" applyNumberFormat="1" applyFont="1" applyFill="1"/>
    <xf numFmtId="164" fontId="4" fillId="20" borderId="0" xfId="1" applyNumberFormat="1" applyFont="1" applyFill="1" applyAlignment="1">
      <alignment horizontal="right"/>
    </xf>
    <xf numFmtId="1" fontId="6" fillId="18" borderId="0" xfId="1" applyNumberFormat="1" applyFont="1" applyFill="1"/>
    <xf numFmtId="0" fontId="6" fillId="4" borderId="0" xfId="1" applyFont="1" applyFill="1" applyAlignment="1">
      <alignment horizontal="right"/>
    </xf>
    <xf numFmtId="0" fontId="24" fillId="4" borderId="0" xfId="1" applyFont="1" applyFill="1" applyAlignment="1">
      <alignment horizontal="right"/>
    </xf>
    <xf numFmtId="0" fontId="23" fillId="4" borderId="15" xfId="1" applyFont="1" applyFill="1" applyBorder="1" applyAlignment="1">
      <alignment horizontal="right"/>
    </xf>
    <xf numFmtId="0" fontId="23" fillId="4" borderId="0" xfId="1" applyFont="1" applyFill="1" applyAlignment="1">
      <alignment horizontal="right"/>
    </xf>
    <xf numFmtId="164" fontId="23" fillId="4" borderId="15" xfId="1" applyNumberFormat="1" applyFont="1" applyFill="1" applyBorder="1" applyAlignment="1">
      <alignment horizontal="right"/>
    </xf>
    <xf numFmtId="164" fontId="23" fillId="4" borderId="0" xfId="1" applyNumberFormat="1" applyFont="1" applyFill="1" applyAlignment="1">
      <alignment horizontal="right"/>
    </xf>
    <xf numFmtId="164" fontId="23" fillId="4" borderId="0" xfId="1" applyNumberFormat="1" applyFont="1" applyFill="1" applyBorder="1" applyAlignment="1">
      <alignment horizontal="right"/>
    </xf>
    <xf numFmtId="164" fontId="23" fillId="4" borderId="15" xfId="1" applyNumberFormat="1" applyFont="1" applyFill="1" applyBorder="1" applyAlignment="1">
      <alignment horizontal="right" vertical="top"/>
    </xf>
    <xf numFmtId="164" fontId="23" fillId="4" borderId="0" xfId="1" applyNumberFormat="1" applyFont="1" applyFill="1" applyAlignment="1">
      <alignment horizontal="right" vertical="top"/>
    </xf>
    <xf numFmtId="0" fontId="2" fillId="18" borderId="0" xfId="1" applyFill="1" applyAlignment="1">
      <alignment horizontal="right"/>
    </xf>
    <xf numFmtId="0" fontId="35" fillId="4" borderId="0" xfId="1" applyFont="1" applyFill="1" applyAlignment="1">
      <alignment horizontal="right"/>
    </xf>
    <xf numFmtId="164" fontId="24" fillId="4" borderId="0" xfId="1" applyNumberFormat="1" applyFont="1" applyFill="1" applyBorder="1" applyAlignment="1">
      <alignment horizontal="right"/>
    </xf>
    <xf numFmtId="0" fontId="2" fillId="4" borderId="0" xfId="1" applyFont="1" applyFill="1" applyAlignment="1">
      <alignment horizontal="right"/>
    </xf>
    <xf numFmtId="0" fontId="16" fillId="4" borderId="15" xfId="1" applyFont="1" applyFill="1" applyBorder="1" applyAlignment="1">
      <alignment horizontal="right"/>
    </xf>
    <xf numFmtId="0" fontId="16" fillId="4" borderId="0" xfId="1" applyFont="1" applyFill="1" applyAlignment="1">
      <alignment horizontal="right"/>
    </xf>
    <xf numFmtId="164" fontId="16" fillId="4" borderId="0" xfId="1" applyNumberFormat="1" applyFont="1" applyFill="1" applyBorder="1" applyAlignment="1">
      <alignment horizontal="right"/>
    </xf>
    <xf numFmtId="1" fontId="2" fillId="4" borderId="0" xfId="1" applyNumberFormat="1" applyFont="1" applyFill="1" applyAlignment="1">
      <alignment horizontal="right"/>
    </xf>
    <xf numFmtId="0" fontId="1" fillId="0" borderId="0" xfId="4" applyAlignment="1">
      <alignment vertical="top"/>
    </xf>
    <xf numFmtId="0" fontId="1" fillId="2" borderId="0" xfId="1" applyFont="1" applyFill="1"/>
    <xf numFmtId="0" fontId="16" fillId="2" borderId="0" xfId="1" applyFont="1" applyFill="1"/>
    <xf numFmtId="165" fontId="16" fillId="2" borderId="0" xfId="2" applyNumberFormat="1" applyFont="1" applyFill="1"/>
    <xf numFmtId="49" fontId="5" fillId="0" borderId="0" xfId="1" applyNumberFormat="1" applyFont="1" applyAlignment="1">
      <alignment vertical="top"/>
    </xf>
    <xf numFmtId="0" fontId="5" fillId="0" borderId="0" xfId="1" applyFont="1" applyAlignment="1">
      <alignment vertical="top"/>
    </xf>
    <xf numFmtId="0" fontId="5" fillId="0" borderId="0" xfId="1" applyFont="1" applyAlignment="1">
      <alignment horizontal="left" vertical="top" wrapText="1"/>
    </xf>
    <xf numFmtId="2" fontId="23" fillId="4" borderId="0" xfId="1" applyNumberFormat="1" applyFont="1" applyFill="1" applyAlignment="1">
      <alignment horizontal="center"/>
    </xf>
    <xf numFmtId="0" fontId="5" fillId="0" borderId="0" xfId="0" applyFont="1" applyAlignment="1">
      <alignment horizontal="right"/>
    </xf>
    <xf numFmtId="2" fontId="5" fillId="0" borderId="0" xfId="0" applyNumberFormat="1" applyFont="1"/>
    <xf numFmtId="0" fontId="16" fillId="0" borderId="0" xfId="0" applyFont="1"/>
    <xf numFmtId="165" fontId="16" fillId="0" borderId="0" xfId="6" applyNumberFormat="1" applyFont="1"/>
    <xf numFmtId="164" fontId="4" fillId="18" borderId="0" xfId="4" applyNumberFormat="1" applyFont="1" applyFill="1"/>
    <xf numFmtId="164" fontId="4" fillId="18" borderId="0" xfId="4" applyNumberFormat="1" applyFont="1" applyFill="1" applyAlignment="1">
      <alignment horizontal="right"/>
    </xf>
    <xf numFmtId="0" fontId="6" fillId="0" borderId="0" xfId="1" applyFont="1" applyFill="1" applyAlignment="1">
      <alignment horizontal="right"/>
    </xf>
    <xf numFmtId="0" fontId="24" fillId="0" borderId="0" xfId="1" applyFont="1" applyFill="1" applyAlignment="1">
      <alignment horizontal="right"/>
    </xf>
    <xf numFmtId="0" fontId="35" fillId="0" borderId="0" xfId="1" applyFont="1" applyFill="1" applyAlignment="1">
      <alignment horizontal="right"/>
    </xf>
    <xf numFmtId="164" fontId="24" fillId="0" borderId="0" xfId="1" applyNumberFormat="1" applyFont="1" applyFill="1" applyBorder="1" applyAlignment="1">
      <alignment horizontal="right"/>
    </xf>
    <xf numFmtId="1" fontId="1" fillId="0" borderId="0" xfId="1" applyNumberFormat="1" applyFont="1" applyFill="1"/>
    <xf numFmtId="164" fontId="5" fillId="0" borderId="0" xfId="0" applyNumberFormat="1" applyFont="1"/>
    <xf numFmtId="9" fontId="5" fillId="0" borderId="0" xfId="1" applyNumberFormat="1" applyFont="1" applyFill="1"/>
    <xf numFmtId="9" fontId="5" fillId="0" borderId="0" xfId="1" applyNumberFormat="1" applyFont="1"/>
    <xf numFmtId="1" fontId="5" fillId="0" borderId="0" xfId="1" applyNumberFormat="1" applyFont="1"/>
    <xf numFmtId="0" fontId="21" fillId="11" borderId="0" xfId="4" applyFont="1" applyFill="1" applyBorder="1" applyAlignment="1">
      <alignment horizontal="center" vertical="center" wrapText="1"/>
    </xf>
    <xf numFmtId="164" fontId="23" fillId="11" borderId="0" xfId="4" applyNumberFormat="1" applyFont="1" applyFill="1"/>
    <xf numFmtId="164" fontId="24" fillId="11" borderId="0" xfId="4" applyNumberFormat="1" applyFont="1" applyFill="1"/>
    <xf numFmtId="0" fontId="21" fillId="11" borderId="0" xfId="1" applyFont="1" applyFill="1" applyBorder="1" applyAlignment="1">
      <alignment horizontal="center" vertical="center" wrapText="1"/>
    </xf>
    <xf numFmtId="0" fontId="23" fillId="11" borderId="0" xfId="1" applyFont="1" applyFill="1"/>
    <xf numFmtId="164" fontId="23" fillId="11" borderId="0" xfId="1" applyNumberFormat="1" applyFont="1" applyFill="1"/>
    <xf numFmtId="164" fontId="24" fillId="11" borderId="0" xfId="1" applyNumberFormat="1" applyFont="1" applyFill="1"/>
    <xf numFmtId="0" fontId="21" fillId="11" borderId="0" xfId="1" applyFont="1" applyFill="1" applyBorder="1" applyAlignment="1">
      <alignment vertical="center" wrapText="1"/>
    </xf>
    <xf numFmtId="164" fontId="6" fillId="11" borderId="0" xfId="1" applyNumberFormat="1" applyFont="1" applyFill="1"/>
    <xf numFmtId="164" fontId="4" fillId="11" borderId="0" xfId="1" applyNumberFormat="1" applyFont="1" applyFill="1" applyAlignment="1">
      <alignment horizontal="right"/>
    </xf>
    <xf numFmtId="0" fontId="2" fillId="11" borderId="0" xfId="1" applyFill="1" applyBorder="1"/>
    <xf numFmtId="0" fontId="0" fillId="0" borderId="0" xfId="0" applyFill="1" applyBorder="1"/>
    <xf numFmtId="0" fontId="4" fillId="11" borderId="18" xfId="0" applyFont="1" applyFill="1" applyBorder="1" applyAlignment="1">
      <alignment horizontal="center" vertical="center"/>
    </xf>
    <xf numFmtId="1" fontId="4" fillId="11" borderId="18" xfId="1" applyNumberFormat="1" applyFont="1" applyFill="1" applyBorder="1" applyAlignment="1">
      <alignment horizontal="center" vertical="center"/>
    </xf>
    <xf numFmtId="0" fontId="6" fillId="11" borderId="0" xfId="0" applyFont="1" applyFill="1" applyAlignment="1">
      <alignment horizontal="center" vertical="center"/>
    </xf>
    <xf numFmtId="0" fontId="16" fillId="0" borderId="0" xfId="0" quotePrefix="1" applyFont="1" applyAlignment="1">
      <alignment vertical="center"/>
    </xf>
    <xf numFmtId="0" fontId="6" fillId="11" borderId="20" xfId="0" applyFont="1" applyFill="1" applyBorder="1" applyAlignment="1">
      <alignment horizontal="center" vertical="center"/>
    </xf>
    <xf numFmtId="0" fontId="0" fillId="18" borderId="0" xfId="0" applyFill="1" applyBorder="1"/>
    <xf numFmtId="0" fontId="7" fillId="0" borderId="0" xfId="0" applyFont="1" applyBorder="1" applyAlignment="1">
      <alignment vertical="top"/>
    </xf>
    <xf numFmtId="0" fontId="37" fillId="0" borderId="0" xfId="0" applyFont="1" applyBorder="1" applyAlignment="1">
      <alignment vertical="top"/>
    </xf>
    <xf numFmtId="164" fontId="7" fillId="0" borderId="0" xfId="1" applyNumberFormat="1" applyFont="1" applyFill="1" applyAlignment="1">
      <alignment vertical="top"/>
    </xf>
    <xf numFmtId="0" fontId="37" fillId="0" borderId="0" xfId="0" applyFont="1" applyBorder="1" applyAlignment="1">
      <alignment horizontal="center" vertical="top" wrapText="1"/>
    </xf>
    <xf numFmtId="0" fontId="0" fillId="18" borderId="0" xfId="0" applyFill="1"/>
    <xf numFmtId="0" fontId="1" fillId="0" borderId="0" xfId="0" applyFont="1" applyFill="1" applyBorder="1" applyAlignment="1">
      <alignment horizontal="right"/>
    </xf>
    <xf numFmtId="0" fontId="36" fillId="18" borderId="19" xfId="0" applyFont="1" applyFill="1" applyBorder="1" applyAlignment="1">
      <alignment horizontal="left" vertical="center"/>
    </xf>
    <xf numFmtId="0" fontId="36" fillId="0" borderId="20" xfId="0" applyFont="1" applyFill="1" applyBorder="1" applyAlignment="1">
      <alignment wrapText="1"/>
    </xf>
    <xf numFmtId="164" fontId="36" fillId="18" borderId="20" xfId="1" applyNumberFormat="1" applyFont="1" applyFill="1" applyBorder="1" applyAlignment="1">
      <alignment vertical="center" wrapText="1"/>
    </xf>
    <xf numFmtId="164" fontId="5" fillId="18" borderId="20" xfId="1" applyNumberFormat="1" applyFont="1" applyFill="1" applyBorder="1" applyAlignment="1">
      <alignment horizontal="left" vertical="center" wrapText="1"/>
    </xf>
    <xf numFmtId="0" fontId="5" fillId="0" borderId="18" xfId="0" quotePrefix="1" applyFont="1" applyFill="1" applyBorder="1" applyAlignment="1">
      <alignment wrapText="1"/>
    </xf>
    <xf numFmtId="0" fontId="5" fillId="18" borderId="19" xfId="0" applyFont="1" applyFill="1" applyBorder="1" applyAlignment="1">
      <alignment horizontal="left" vertical="center"/>
    </xf>
    <xf numFmtId="0" fontId="1" fillId="18" borderId="20" xfId="0" applyFont="1" applyFill="1" applyBorder="1"/>
    <xf numFmtId="0" fontId="5" fillId="18" borderId="21" xfId="0" quotePrefix="1" applyFont="1" applyFill="1" applyBorder="1" applyAlignment="1">
      <alignment vertical="center" wrapText="1"/>
    </xf>
    <xf numFmtId="0" fontId="4" fillId="11" borderId="0" xfId="0" applyFont="1" applyFill="1" applyAlignment="1">
      <alignment horizontal="center" vertical="center"/>
    </xf>
    <xf numFmtId="0" fontId="4" fillId="11" borderId="20" xfId="0" applyFont="1" applyFill="1" applyBorder="1" applyAlignment="1">
      <alignment horizontal="center" vertical="center" wrapText="1"/>
    </xf>
    <xf numFmtId="0" fontId="5" fillId="0" borderId="0" xfId="0" applyFont="1" applyAlignment="1"/>
    <xf numFmtId="0" fontId="5" fillId="0" borderId="0" xfId="0" applyFont="1" applyAlignment="1">
      <alignment wrapText="1"/>
    </xf>
    <xf numFmtId="1" fontId="4" fillId="11" borderId="0" xfId="0" applyNumberFormat="1" applyFont="1" applyFill="1" applyAlignment="1">
      <alignment horizontal="center"/>
    </xf>
    <xf numFmtId="0" fontId="16" fillId="0" borderId="0" xfId="0" applyFont="1" applyFill="1"/>
    <xf numFmtId="0" fontId="13" fillId="0" borderId="0" xfId="0" applyFont="1"/>
    <xf numFmtId="0" fontId="41" fillId="0" borderId="0" xfId="7" applyFont="1"/>
    <xf numFmtId="0" fontId="2" fillId="0" borderId="0" xfId="1" applyFont="1" applyBorder="1" applyAlignment="1">
      <alignment horizontal="center"/>
    </xf>
    <xf numFmtId="0" fontId="5" fillId="12" borderId="1" xfId="1" applyFont="1" applyFill="1" applyBorder="1" applyAlignment="1">
      <alignment horizontal="center" vertical="top" wrapText="1"/>
    </xf>
    <xf numFmtId="0" fontId="5" fillId="12" borderId="0" xfId="1" applyFont="1" applyFill="1" applyBorder="1" applyAlignment="1">
      <alignment horizontal="center" vertical="top" wrapText="1"/>
    </xf>
    <xf numFmtId="9" fontId="6" fillId="3" borderId="0" xfId="1" applyNumberFormat="1" applyFont="1" applyFill="1" applyAlignment="1">
      <alignment horizontal="center"/>
    </xf>
    <xf numFmtId="1" fontId="11" fillId="12" borderId="0" xfId="1" applyNumberFormat="1" applyFont="1" applyFill="1" applyBorder="1" applyAlignment="1">
      <alignment horizontal="center"/>
    </xf>
    <xf numFmtId="1" fontId="19" fillId="17" borderId="0" xfId="1" applyNumberFormat="1" applyFont="1" applyFill="1" applyBorder="1" applyAlignment="1">
      <alignment horizontal="center" vertical="center"/>
    </xf>
    <xf numFmtId="0" fontId="19" fillId="14" borderId="0" xfId="1" applyFont="1" applyFill="1" applyBorder="1" applyAlignment="1">
      <alignment horizontal="center" vertical="center" wrapText="1"/>
    </xf>
    <xf numFmtId="0" fontId="25" fillId="0" borderId="0" xfId="1" applyFont="1" applyFill="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5" fillId="18" borderId="20" xfId="0" applyFont="1" applyFill="1" applyBorder="1" applyAlignment="1">
      <alignment horizontal="center" vertical="center" wrapText="1"/>
    </xf>
    <xf numFmtId="0" fontId="5" fillId="0" borderId="0" xfId="0" applyFont="1" applyFill="1" applyAlignment="1">
      <alignment horizontal="left" vertical="center"/>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6" fillId="0" borderId="0" xfId="1" applyFont="1" applyFill="1" applyAlignment="1">
      <alignment horizontal="center"/>
    </xf>
    <xf numFmtId="1" fontId="11" fillId="12" borderId="0" xfId="1" applyNumberFormat="1" applyFont="1" applyFill="1" applyBorder="1" applyAlignment="1">
      <alignment horizontal="center" vertical="center"/>
    </xf>
    <xf numFmtId="1" fontId="21" fillId="4" borderId="0" xfId="1" applyNumberFormat="1" applyFont="1" applyFill="1" applyBorder="1" applyAlignment="1">
      <alignment horizontal="center" vertical="center" wrapText="1"/>
    </xf>
    <xf numFmtId="0" fontId="5" fillId="2" borderId="0" xfId="1" applyFont="1" applyFill="1" applyAlignment="1">
      <alignment horizontal="center"/>
    </xf>
    <xf numFmtId="0" fontId="14" fillId="0" borderId="0" xfId="1" applyFont="1" applyAlignment="1">
      <alignment horizontal="left" vertical="top" wrapText="1"/>
    </xf>
    <xf numFmtId="1" fontId="11" fillId="2" borderId="0" xfId="1" applyNumberFormat="1" applyFont="1" applyFill="1" applyBorder="1" applyAlignment="1">
      <alignment horizontal="center"/>
    </xf>
    <xf numFmtId="0" fontId="9" fillId="2" borderId="0" xfId="1" applyFont="1" applyFill="1" applyAlignment="1">
      <alignment horizontal="center" vertical="center" wrapText="1"/>
    </xf>
    <xf numFmtId="0" fontId="5" fillId="0" borderId="0" xfId="1" applyFont="1" applyFill="1" applyAlignment="1">
      <alignment horizontal="left" wrapText="1"/>
    </xf>
    <xf numFmtId="0" fontId="4" fillId="4" borderId="0" xfId="1" applyFont="1" applyFill="1" applyBorder="1" applyAlignment="1">
      <alignment horizontal="center"/>
    </xf>
    <xf numFmtId="0" fontId="2" fillId="12" borderId="0" xfId="1" applyFont="1" applyFill="1" applyAlignment="1">
      <alignment horizontal="center" vertical="center" textRotation="90" wrapText="1"/>
    </xf>
    <xf numFmtId="1" fontId="11" fillId="0" borderId="0" xfId="1" applyNumberFormat="1" applyFont="1" applyBorder="1" applyAlignment="1">
      <alignment horizontal="center"/>
    </xf>
    <xf numFmtId="164" fontId="9" fillId="0" borderId="0" xfId="1" applyNumberFormat="1" applyFont="1" applyFill="1" applyAlignment="1">
      <alignment horizontal="center" vertical="center" wrapText="1"/>
    </xf>
    <xf numFmtId="0" fontId="21" fillId="20" borderId="0" xfId="1" applyFont="1" applyFill="1" applyBorder="1" applyAlignment="1">
      <alignment horizontal="center" vertical="center" wrapText="1"/>
    </xf>
    <xf numFmtId="1" fontId="11" fillId="0" borderId="0" xfId="1" applyNumberFormat="1" applyFont="1" applyBorder="1" applyAlignment="1">
      <alignment horizontal="center" vertical="center"/>
    </xf>
    <xf numFmtId="164" fontId="2" fillId="12" borderId="0" xfId="1" applyNumberFormat="1" applyFont="1" applyFill="1" applyAlignment="1">
      <alignment horizontal="center" vertical="center" textRotation="90" wrapText="1"/>
    </xf>
    <xf numFmtId="0" fontId="24" fillId="4" borderId="0" xfId="1" applyFont="1" applyFill="1" applyBorder="1" applyAlignment="1">
      <alignment horizontal="center"/>
    </xf>
    <xf numFmtId="164" fontId="2" fillId="12" borderId="0" xfId="1" applyNumberFormat="1" applyFont="1" applyFill="1" applyBorder="1" applyAlignment="1">
      <alignment horizontal="center" vertical="center" textRotation="90" wrapText="1"/>
    </xf>
    <xf numFmtId="164" fontId="2" fillId="12" borderId="14" xfId="1" applyNumberFormat="1" applyFont="1" applyFill="1" applyBorder="1" applyAlignment="1">
      <alignment horizontal="center" vertical="center" textRotation="90" wrapText="1"/>
    </xf>
    <xf numFmtId="0" fontId="24" fillId="18" borderId="0" xfId="1" applyFont="1" applyFill="1" applyAlignment="1">
      <alignment horizontal="left" wrapText="1"/>
    </xf>
    <xf numFmtId="1" fontId="11" fillId="0" borderId="0" xfId="4" applyNumberFormat="1" applyFont="1" applyBorder="1" applyAlignment="1">
      <alignment horizontal="center"/>
    </xf>
    <xf numFmtId="1" fontId="21" fillId="11" borderId="0" xfId="4" applyNumberFormat="1" applyFont="1" applyFill="1" applyBorder="1" applyAlignment="1">
      <alignment horizontal="center"/>
    </xf>
    <xf numFmtId="164" fontId="9" fillId="0" borderId="0" xfId="4" applyNumberFormat="1" applyFont="1" applyFill="1" applyAlignment="1">
      <alignment horizontal="center" vertical="center" wrapText="1"/>
    </xf>
    <xf numFmtId="49" fontId="14" fillId="0" borderId="0" xfId="4" applyNumberFormat="1" applyFont="1" applyAlignment="1">
      <alignment horizontal="left" vertical="top" wrapText="1"/>
    </xf>
    <xf numFmtId="0" fontId="5" fillId="0" borderId="0" xfId="1" applyFont="1" applyAlignment="1">
      <alignment horizontal="left" vertical="top" wrapText="1"/>
    </xf>
    <xf numFmtId="1" fontId="21" fillId="11" borderId="0" xfId="1" applyNumberFormat="1" applyFont="1" applyFill="1" applyBorder="1" applyAlignment="1">
      <alignment horizontal="center"/>
    </xf>
    <xf numFmtId="0" fontId="9" fillId="0" borderId="0" xfId="1" applyFont="1" applyFill="1" applyAlignment="1">
      <alignment horizontal="center" vertical="center" wrapText="1"/>
    </xf>
    <xf numFmtId="49" fontId="14" fillId="0" borderId="0" xfId="1" applyNumberFormat="1" applyFont="1" applyAlignment="1">
      <alignment horizontal="left" vertical="top" wrapText="1"/>
    </xf>
    <xf numFmtId="1" fontId="21" fillId="11" borderId="0" xfId="1" applyNumberFormat="1" applyFont="1" applyFill="1" applyBorder="1" applyAlignment="1">
      <alignment horizontal="center" vertical="center"/>
    </xf>
    <xf numFmtId="0" fontId="21" fillId="11" borderId="0" xfId="1" applyFont="1" applyFill="1" applyBorder="1" applyAlignment="1">
      <alignment horizontal="center" vertical="center" wrapText="1"/>
    </xf>
  </cellXfs>
  <cellStyles count="8">
    <cellStyle name="Hyperlink" xfId="7" builtinId="8"/>
    <cellStyle name="Milliers 2" xfId="3"/>
    <cellStyle name="Normal" xfId="0" builtinId="0"/>
    <cellStyle name="Normal 2" xfId="1"/>
    <cellStyle name="Normal 2 2" xfId="4"/>
    <cellStyle name="Normal 3" xfId="5"/>
    <cellStyle name="Percent" xfId="6" builtinId="5"/>
    <cellStyle name="Pourcentag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GB" sz="1200" b="1" i="1"/>
              <a:t>Illustration of the</a:t>
            </a:r>
            <a:r>
              <a:rPr lang="en-GB" sz="1200" b="1" i="1" baseline="0"/>
              <a:t> ODA calculation</a:t>
            </a:r>
            <a:endParaRPr lang="en-GB" sz="1200" b="1" i="1"/>
          </a:p>
        </c:rich>
      </c:tx>
      <c:layout>
        <c:manualLayout>
          <c:xMode val="edge"/>
          <c:yMode val="edge"/>
          <c:x val="0.26465932072964055"/>
          <c:y val="1.5701658366935198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601857460125176E-2"/>
          <c:y val="8.9103155193841946E-2"/>
          <c:w val="0.88416371030544261"/>
          <c:h val="0.88261012887160506"/>
        </c:manualLayout>
      </c:layout>
      <c:barChart>
        <c:barDir val="col"/>
        <c:grouping val="stacked"/>
        <c:varyColors val="0"/>
        <c:ser>
          <c:idx val="2"/>
          <c:order val="0"/>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'Example 2_case 7'!$AB$9</c:f>
              <c:numCache>
                <c:formatCode>0</c:formatCode>
                <c:ptCount val="1"/>
                <c:pt idx="0">
                  <c:v>23.07692307692308</c:v>
                </c:pt>
              </c:numCache>
            </c:numRef>
          </c:val>
          <c:extLst>
            <c:ext xmlns:c16="http://schemas.microsoft.com/office/drawing/2014/chart" uri="{C3380CC4-5D6E-409C-BE32-E72D297353CC}">
              <c16:uniqueId val="{00000000-ECF3-4799-8115-737C7FC1AEEB}"/>
            </c:ext>
          </c:extLst>
        </c:ser>
        <c:ser>
          <c:idx val="1"/>
          <c:order val="1"/>
          <c:spPr>
            <a:solidFill>
              <a:schemeClr val="accent2"/>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1-ECF3-4799-8115-737C7FC1AEE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'Example 2_case 7'!$AB$8</c:f>
              <c:numCache>
                <c:formatCode>0</c:formatCode>
                <c:ptCount val="1"/>
                <c:pt idx="0">
                  <c:v>0</c:v>
                </c:pt>
              </c:numCache>
            </c:numRef>
          </c:val>
          <c:extLst>
            <c:ext xmlns:c16="http://schemas.microsoft.com/office/drawing/2014/chart" uri="{C3380CC4-5D6E-409C-BE32-E72D297353CC}">
              <c16:uniqueId val="{00000002-ECF3-4799-8115-737C7FC1AEEB}"/>
            </c:ext>
          </c:extLst>
        </c:ser>
        <c:ser>
          <c:idx val="0"/>
          <c:order val="2"/>
          <c:spPr>
            <a:solidFill>
              <a:schemeClr val="bg1">
                <a:lumMod val="75000"/>
              </a:schemeClr>
            </a:solidFill>
            <a:ln>
              <a:solidFill>
                <a:schemeClr val="bg1">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'Example 2_case 7'!$AB$7</c:f>
              <c:numCache>
                <c:formatCode>0</c:formatCode>
                <c:ptCount val="1"/>
                <c:pt idx="0">
                  <c:v>53.081538461538436</c:v>
                </c:pt>
              </c:numCache>
            </c:numRef>
          </c:val>
          <c:extLst>
            <c:ext xmlns:c16="http://schemas.microsoft.com/office/drawing/2014/chart" uri="{C3380CC4-5D6E-409C-BE32-E72D297353CC}">
              <c16:uniqueId val="{00000003-ECF3-4799-8115-737C7FC1AEEB}"/>
            </c:ext>
          </c:extLst>
        </c:ser>
        <c:dLbls>
          <c:showLegendKey val="0"/>
          <c:showVal val="0"/>
          <c:showCatName val="0"/>
          <c:showSerName val="0"/>
          <c:showPercent val="0"/>
          <c:showBubbleSize val="0"/>
        </c:dLbls>
        <c:gapWidth val="150"/>
        <c:overlap val="100"/>
        <c:axId val="417428136"/>
        <c:axId val="417423872"/>
      </c:barChart>
      <c:catAx>
        <c:axId val="417428136"/>
        <c:scaling>
          <c:orientation val="minMax"/>
        </c:scaling>
        <c:delete val="1"/>
        <c:axPos val="b"/>
        <c:numFmt formatCode="0" sourceLinked="1"/>
        <c:majorTickMark val="none"/>
        <c:minorTickMark val="none"/>
        <c:tickLblPos val="nextTo"/>
        <c:crossAx val="417423872"/>
        <c:crosses val="autoZero"/>
        <c:auto val="1"/>
        <c:lblAlgn val="ctr"/>
        <c:lblOffset val="100"/>
        <c:noMultiLvlLbl val="0"/>
      </c:catAx>
      <c:valAx>
        <c:axId val="4174238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74281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361950</xdr:colOff>
      <xdr:row>2</xdr:row>
      <xdr:rowOff>127000</xdr:rowOff>
    </xdr:from>
    <xdr:to>
      <xdr:col>11</xdr:col>
      <xdr:colOff>127000</xdr:colOff>
      <xdr:row>17</xdr:row>
      <xdr:rowOff>82550</xdr:rowOff>
    </xdr:to>
    <xdr:sp macro="" textlink="">
      <xdr:nvSpPr>
        <xdr:cNvPr id="2" name="TextBox 1"/>
        <xdr:cNvSpPr txBox="1"/>
      </xdr:nvSpPr>
      <xdr:spPr>
        <a:xfrm>
          <a:off x="361950" y="450850"/>
          <a:ext cx="6470650" cy="2336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rgbClr val="FF0000"/>
              </a:solidFill>
            </a:rPr>
            <a:t>When</a:t>
          </a:r>
          <a:r>
            <a:rPr lang="en-GB" sz="1200" baseline="0">
              <a:solidFill>
                <a:srgbClr val="FF0000"/>
              </a:solidFill>
            </a:rPr>
            <a:t> members include debt relief of ODA claims in their ODA reporting, they are invited to complete this template and share it with the Secretariat along the CRS file.</a:t>
          </a:r>
        </a:p>
        <a:p>
          <a:endParaRPr lang="en-GB" sz="1200" baseline="0"/>
        </a:p>
        <a:p>
          <a:pPr marL="0" marR="0" lvl="0" indent="0" defTabSz="914400" eaLnBrk="1" fontAlgn="auto" latinLnBrk="0" hangingPunct="1">
            <a:lnSpc>
              <a:spcPct val="100000"/>
            </a:lnSpc>
            <a:spcBef>
              <a:spcPts val="0"/>
            </a:spcBef>
            <a:spcAft>
              <a:spcPts val="0"/>
            </a:spcAft>
            <a:buClrTx/>
            <a:buSzTx/>
            <a:buFontTx/>
            <a:buNone/>
            <a:tabLst/>
            <a:defRPr/>
          </a:pPr>
          <a:r>
            <a:rPr lang="en-GB" sz="1200" baseline="0">
              <a:solidFill>
                <a:schemeClr val="accent5"/>
              </a:solidFill>
            </a:rPr>
            <a:t>The template:</a:t>
          </a:r>
        </a:p>
        <a:p>
          <a:pPr marL="0" marR="0" lvl="0" indent="0" defTabSz="914400" eaLnBrk="1" fontAlgn="auto" latinLnBrk="0" hangingPunct="1">
            <a:lnSpc>
              <a:spcPct val="100000"/>
            </a:lnSpc>
            <a:spcBef>
              <a:spcPts val="0"/>
            </a:spcBef>
            <a:spcAft>
              <a:spcPts val="0"/>
            </a:spcAft>
            <a:buClrTx/>
            <a:buSzTx/>
            <a:buFontTx/>
            <a:buNone/>
            <a:tabLst/>
            <a:defRPr/>
          </a:pPr>
          <a:endParaRPr lang="en-GB" sz="1200" baseline="0"/>
        </a:p>
        <a:p>
          <a:pPr marL="0" marR="0" lvl="0" indent="0" defTabSz="914400" eaLnBrk="1" fontAlgn="auto" latinLnBrk="0" hangingPunct="1">
            <a:lnSpc>
              <a:spcPct val="100000"/>
            </a:lnSpc>
            <a:spcBef>
              <a:spcPts val="0"/>
            </a:spcBef>
            <a:spcAft>
              <a:spcPts val="0"/>
            </a:spcAft>
            <a:buClrTx/>
            <a:buSzTx/>
            <a:buFontTx/>
            <a:buNone/>
            <a:tabLst/>
            <a:defRPr/>
          </a:pPr>
          <a:r>
            <a:rPr lang="en-GB" sz="1200" baseline="0">
              <a:solidFill>
                <a:schemeClr val="accent5"/>
              </a:solidFill>
            </a:rPr>
            <a:t>- </a:t>
          </a:r>
          <a:r>
            <a:rPr lang="en-GB" sz="1200">
              <a:solidFill>
                <a:schemeClr val="accent5"/>
              </a:solidFill>
              <a:effectLst/>
              <a:latin typeface="+mn-lt"/>
              <a:ea typeface="+mn-ea"/>
              <a:cs typeface="+mn-cs"/>
            </a:rPr>
            <a:t>requests information needed for the Secretariat t</a:t>
          </a:r>
          <a:r>
            <a:rPr lang="en-US" sz="1200">
              <a:solidFill>
                <a:schemeClr val="accent5"/>
              </a:solidFill>
              <a:effectLst/>
              <a:latin typeface="+mn-lt"/>
              <a:ea typeface="+mn-ea"/>
              <a:cs typeface="+mn-cs"/>
            </a:rPr>
            <a:t>o check the calculation of the grant equivalent ODA amounts reported as debt relief: </a:t>
          </a:r>
          <a:r>
            <a:rPr lang="en-US" sz="1200" b="1">
              <a:solidFill>
                <a:schemeClr val="accent5"/>
              </a:solidFill>
              <a:effectLst/>
              <a:latin typeface="+mn-lt"/>
              <a:ea typeface="+mn-ea"/>
              <a:cs typeface="+mn-cs"/>
            </a:rPr>
            <a:t>see tab "template_ODA reporting"</a:t>
          </a:r>
          <a:r>
            <a:rPr lang="en-US" sz="1200">
              <a:solidFill>
                <a:schemeClr val="accent5"/>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lang="en-US"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accent5"/>
              </a:solidFill>
              <a:effectLst/>
              <a:latin typeface="+mn-lt"/>
              <a:ea typeface="+mn-ea"/>
              <a:cs typeface="+mn-cs"/>
            </a:rPr>
            <a:t>- provides, through examples, the format of schedules as well as the formulas to guide reporters through the grant equivalent calculation, step by step. See </a:t>
          </a:r>
          <a:r>
            <a:rPr lang="en-US" sz="1200" b="1">
              <a:solidFill>
                <a:schemeClr val="accent5"/>
              </a:solidFill>
              <a:effectLst/>
              <a:latin typeface="+mn-lt"/>
              <a:ea typeface="+mn-ea"/>
              <a:cs typeface="+mn-cs"/>
            </a:rPr>
            <a:t>Examples 1-3 </a:t>
          </a:r>
          <a:r>
            <a:rPr lang="en-US" sz="1200">
              <a:solidFill>
                <a:schemeClr val="accent5"/>
              </a:solidFill>
              <a:effectLst/>
              <a:latin typeface="+mn-lt"/>
              <a:ea typeface="+mn-ea"/>
              <a:cs typeface="+mn-cs"/>
            </a:rPr>
            <a:t>(which correspond</a:t>
          </a:r>
          <a:r>
            <a:rPr lang="en-US" sz="1200" baseline="0">
              <a:solidFill>
                <a:schemeClr val="accent5"/>
              </a:solidFill>
              <a:effectLst/>
              <a:latin typeface="+mn-lt"/>
              <a:ea typeface="+mn-ea"/>
              <a:cs typeface="+mn-cs"/>
            </a:rPr>
            <a:t> to the examples shown in Annex 7a of the Statistical Reporting Directives</a:t>
          </a:r>
          <a:r>
            <a:rPr lang="en-GB" sz="1200" baseline="0">
              <a:solidFill>
                <a:schemeClr val="accent5"/>
              </a:solidFill>
              <a:effectLst/>
              <a:latin typeface="+mn-lt"/>
              <a:ea typeface="+mn-ea"/>
              <a:cs typeface="+mn-cs"/>
            </a:rPr>
            <a:t>).</a:t>
          </a:r>
          <a:endParaRPr lang="en-GB" sz="1200">
            <a:solidFill>
              <a:schemeClr val="accent5"/>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0</xdr:colOff>
      <xdr:row>12</xdr:row>
      <xdr:rowOff>0</xdr:rowOff>
    </xdr:from>
    <xdr:to>
      <xdr:col>34</xdr:col>
      <xdr:colOff>95290</xdr:colOff>
      <xdr:row>42</xdr:row>
      <xdr:rowOff>80964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0.12972</cdr:x>
      <cdr:y>0.76567</cdr:y>
    </cdr:from>
    <cdr:to>
      <cdr:x>0.87477</cdr:x>
      <cdr:y>0.7676</cdr:y>
    </cdr:to>
    <cdr:cxnSp macro="">
      <cdr:nvCxnSpPr>
        <cdr:cNvPr id="2" name="Straight Connector 1"/>
        <cdr:cNvCxnSpPr/>
      </cdr:nvCxnSpPr>
      <cdr:spPr>
        <a:xfrm xmlns:a="http://schemas.openxmlformats.org/drawingml/2006/main">
          <a:off x="569616" y="3781413"/>
          <a:ext cx="3271563" cy="9532"/>
        </a:xfrm>
        <a:prstGeom xmlns:a="http://schemas.openxmlformats.org/drawingml/2006/main" prst="line">
          <a:avLst/>
        </a:prstGeom>
        <a:ln xmlns:a="http://schemas.openxmlformats.org/drawingml/2006/main" w="57150">
          <a:solidFill>
            <a:schemeClr val="tx1"/>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0.7715</cdr:x>
      <cdr:y>0.70448</cdr:y>
    </cdr:from>
    <cdr:to>
      <cdr:x>1</cdr:x>
      <cdr:y>0.75747</cdr:y>
    </cdr:to>
    <cdr:sp macro="" textlink="">
      <cdr:nvSpPr>
        <cdr:cNvPr id="10" name="TextBox 9"/>
        <cdr:cNvSpPr txBox="1"/>
      </cdr:nvSpPr>
      <cdr:spPr>
        <a:xfrm xmlns:a="http://schemas.openxmlformats.org/drawingml/2006/main">
          <a:off x="3387707" y="3479249"/>
          <a:ext cx="1003358" cy="2617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b="1"/>
            <a:t>ceiling = 100</a:t>
          </a:r>
        </a:p>
      </cdr:txBody>
    </cdr:sp>
  </cdr:relSizeAnchor>
  <cdr:relSizeAnchor xmlns:cdr="http://schemas.openxmlformats.org/drawingml/2006/chartDrawing">
    <cdr:from>
      <cdr:x>0.72491</cdr:x>
      <cdr:y>0.78778</cdr:y>
    </cdr:from>
    <cdr:to>
      <cdr:x>0.95342</cdr:x>
      <cdr:y>0.9569</cdr:y>
    </cdr:to>
    <cdr:sp macro="" textlink="">
      <cdr:nvSpPr>
        <cdr:cNvPr id="11" name="TextBox 1"/>
        <cdr:cNvSpPr txBox="1"/>
      </cdr:nvSpPr>
      <cdr:spPr>
        <a:xfrm xmlns:a="http://schemas.openxmlformats.org/drawingml/2006/main">
          <a:off x="3341941" y="3955636"/>
          <a:ext cx="1053463" cy="84919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b="1">
              <a:solidFill>
                <a:schemeClr val="accent2"/>
              </a:solidFill>
            </a:rPr>
            <a:t>ODA amount recorded for debt</a:t>
          </a:r>
          <a:r>
            <a:rPr lang="en-GB" sz="1100" b="1" baseline="0">
              <a:solidFill>
                <a:schemeClr val="accent2"/>
              </a:solidFill>
            </a:rPr>
            <a:t> relief in 2050 = 77</a:t>
          </a:r>
          <a:endParaRPr lang="en-GB" sz="1100" b="1">
            <a:solidFill>
              <a:schemeClr val="accent2"/>
            </a:solidFill>
          </a:endParaRPr>
        </a:p>
      </cdr:txBody>
    </cdr:sp>
  </cdr:relSizeAnchor>
  <cdr:relSizeAnchor xmlns:cdr="http://schemas.openxmlformats.org/drawingml/2006/chartDrawing">
    <cdr:from>
      <cdr:x>0.0967</cdr:x>
      <cdr:y>0.85268</cdr:y>
    </cdr:from>
    <cdr:to>
      <cdr:x>0.32521</cdr:x>
      <cdr:y>1</cdr:y>
    </cdr:to>
    <cdr:sp macro="" textlink="">
      <cdr:nvSpPr>
        <cdr:cNvPr id="12" name="TextBox 1"/>
        <cdr:cNvSpPr txBox="1"/>
      </cdr:nvSpPr>
      <cdr:spPr>
        <a:xfrm xmlns:a="http://schemas.openxmlformats.org/drawingml/2006/main">
          <a:off x="424620" y="4211166"/>
          <a:ext cx="1003402" cy="7275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b="1" baseline="0">
              <a:solidFill>
                <a:schemeClr val="bg1">
                  <a:lumMod val="50000"/>
                </a:schemeClr>
              </a:solidFill>
            </a:rPr>
            <a:t>Original ODA </a:t>
          </a:r>
          <a:r>
            <a:rPr lang="en-GB" sz="1100" b="1" baseline="0">
              <a:solidFill>
                <a:schemeClr val="tx2"/>
              </a:solidFill>
            </a:rPr>
            <a:t>recorded</a:t>
          </a:r>
          <a:r>
            <a:rPr lang="en-GB" sz="1100" b="1" baseline="0">
              <a:solidFill>
                <a:schemeClr val="bg1">
                  <a:lumMod val="50000"/>
                </a:schemeClr>
              </a:solidFill>
            </a:rPr>
            <a:t> (in the cash flow system) </a:t>
          </a:r>
          <a:r>
            <a:rPr lang="en-GB" sz="1100" b="1">
              <a:solidFill>
                <a:schemeClr val="bg1">
                  <a:lumMod val="50000"/>
                </a:schemeClr>
              </a:solidFill>
            </a:rPr>
            <a:t>= 23</a:t>
          </a:r>
        </a:p>
      </cdr:txBody>
    </cdr:sp>
  </cdr:relSizeAnchor>
  <cdr:relSizeAnchor xmlns:cdr="http://schemas.openxmlformats.org/drawingml/2006/chartDrawing">
    <cdr:from>
      <cdr:x>0.31648</cdr:x>
      <cdr:y>0.16008</cdr:y>
    </cdr:from>
    <cdr:to>
      <cdr:x>0.31887</cdr:x>
      <cdr:y>0.92575</cdr:y>
    </cdr:to>
    <cdr:cxnSp macro="">
      <cdr:nvCxnSpPr>
        <cdr:cNvPr id="13" name="Straight Arrow Connector 12"/>
        <cdr:cNvCxnSpPr/>
      </cdr:nvCxnSpPr>
      <cdr:spPr>
        <a:xfrm xmlns:a="http://schemas.openxmlformats.org/drawingml/2006/main">
          <a:off x="1389684" y="790589"/>
          <a:ext cx="10491" cy="3781411"/>
        </a:xfrm>
        <a:prstGeom xmlns:a="http://schemas.openxmlformats.org/drawingml/2006/main" prst="straightConnector1">
          <a:avLst/>
        </a:prstGeom>
        <a:ln xmlns:a="http://schemas.openxmlformats.org/drawingml/2006/main" w="47625" cmpd="sng">
          <a:solidFill>
            <a:schemeClr val="accent2">
              <a:lumMod val="75000"/>
            </a:schemeClr>
          </a:solidFill>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0.05812</cdr:x>
      <cdr:y>0.37877</cdr:y>
    </cdr:from>
    <cdr:to>
      <cdr:x>0.30095</cdr:x>
      <cdr:y>0.54789</cdr:y>
    </cdr:to>
    <cdr:sp macro="" textlink="">
      <cdr:nvSpPr>
        <cdr:cNvPr id="15" name="TextBox 1"/>
        <cdr:cNvSpPr txBox="1"/>
      </cdr:nvSpPr>
      <cdr:spPr>
        <a:xfrm xmlns:a="http://schemas.openxmlformats.org/drawingml/2006/main">
          <a:off x="251882" y="1870624"/>
          <a:ext cx="1052405" cy="83523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b="0">
              <a:solidFill>
                <a:schemeClr val="accent2"/>
              </a:solidFill>
            </a:rPr>
            <a:t>For reference, ODA amount that would be recorded for debt relief in 2050 if no ceiling = 249</a:t>
          </a:r>
        </a:p>
      </cdr:txBody>
    </cdr:sp>
  </cdr:relSizeAnchor>
  <cdr:relSizeAnchor xmlns:cdr="http://schemas.openxmlformats.org/drawingml/2006/chartDrawing">
    <cdr:from>
      <cdr:x>0.69829</cdr:x>
      <cdr:y>0.17027</cdr:y>
    </cdr:from>
    <cdr:to>
      <cdr:x>0.92027</cdr:x>
      <cdr:y>0.29306</cdr:y>
    </cdr:to>
    <cdr:sp macro="" textlink="">
      <cdr:nvSpPr>
        <cdr:cNvPr id="9" name="TextBox 1"/>
        <cdr:cNvSpPr txBox="1"/>
      </cdr:nvSpPr>
      <cdr:spPr>
        <a:xfrm xmlns:a="http://schemas.openxmlformats.org/drawingml/2006/main">
          <a:off x="3219217" y="854960"/>
          <a:ext cx="1023358" cy="61656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b="1">
              <a:solidFill>
                <a:schemeClr val="bg1">
                  <a:lumMod val="65000"/>
                </a:schemeClr>
              </a:solidFill>
            </a:rPr>
            <a:t>Late interests </a:t>
          </a:r>
          <a:r>
            <a:rPr lang="en-GB" sz="1100" b="1" baseline="0">
              <a:solidFill>
                <a:schemeClr val="bg1">
                  <a:lumMod val="65000"/>
                </a:schemeClr>
              </a:solidFill>
            </a:rPr>
            <a:t>= 53</a:t>
          </a:r>
          <a:endParaRPr lang="en-GB" sz="1100" b="1">
            <a:solidFill>
              <a:schemeClr val="bg1">
                <a:lumMod val="65000"/>
              </a:schemeClr>
            </a:solidFill>
          </a:endParaRPr>
        </a:p>
      </cdr:txBody>
    </cdr:sp>
  </cdr:relSizeAnchor>
  <cdr:relSizeAnchor xmlns:cdr="http://schemas.openxmlformats.org/drawingml/2006/chartDrawing">
    <cdr:from>
      <cdr:x>0.73002</cdr:x>
      <cdr:y>0.78407</cdr:y>
    </cdr:from>
    <cdr:to>
      <cdr:x>0.73415</cdr:x>
      <cdr:y>0.96238</cdr:y>
    </cdr:to>
    <cdr:cxnSp macro="">
      <cdr:nvCxnSpPr>
        <cdr:cNvPr id="14" name="Straight Arrow Connector 13"/>
        <cdr:cNvCxnSpPr/>
      </cdr:nvCxnSpPr>
      <cdr:spPr>
        <a:xfrm xmlns:a="http://schemas.openxmlformats.org/drawingml/2006/main">
          <a:off x="3365500" y="3937000"/>
          <a:ext cx="19050" cy="895350"/>
        </a:xfrm>
        <a:prstGeom xmlns:a="http://schemas.openxmlformats.org/drawingml/2006/main" prst="straightConnector1">
          <a:avLst/>
        </a:prstGeom>
        <a:ln xmlns:a="http://schemas.openxmlformats.org/drawingml/2006/main" w="47625" cmpd="sng">
          <a:solidFill>
            <a:schemeClr val="accent2">
              <a:lumMod val="75000"/>
            </a:schemeClr>
          </a:solidFill>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dac.contact@oecd.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N37"/>
  <sheetViews>
    <sheetView zoomScale="85" zoomScaleNormal="85" workbookViewId="0">
      <selection activeCell="C27" sqref="C27"/>
    </sheetView>
  </sheetViews>
  <sheetFormatPr defaultColWidth="11.42578125" defaultRowHeight="12.75"/>
  <cols>
    <col min="1" max="1" width="7" style="1" customWidth="1"/>
    <col min="2" max="2" width="11.140625" style="1" customWidth="1"/>
    <col min="3" max="3" width="19.5703125" style="1" customWidth="1"/>
    <col min="4" max="4" width="20.42578125" style="1" customWidth="1"/>
    <col min="5" max="5" width="18.140625" style="1" customWidth="1"/>
    <col min="6" max="6" width="11.42578125" style="1"/>
    <col min="7" max="7" width="11.42578125" style="2"/>
    <col min="8" max="8" width="8.140625" style="1" customWidth="1"/>
    <col min="9" max="9" width="9.85546875" style="1" customWidth="1"/>
    <col min="10" max="12" width="26.140625" style="1" customWidth="1"/>
    <col min="13" max="14" width="11.42578125" style="2"/>
    <col min="15" max="16384" width="11.42578125" style="1"/>
  </cols>
  <sheetData>
    <row r="2" spans="1:12" ht="16.5" customHeight="1">
      <c r="B2" s="493" t="s">
        <v>24</v>
      </c>
      <c r="C2" s="493"/>
      <c r="D2" s="42">
        <v>0.09</v>
      </c>
      <c r="H2" s="2"/>
      <c r="I2" s="2"/>
      <c r="J2" s="491" t="s">
        <v>23</v>
      </c>
      <c r="K2" s="492"/>
      <c r="L2" s="492"/>
    </row>
    <row r="3" spans="1:12" ht="13.5" thickBot="1">
      <c r="H3" s="2"/>
      <c r="I3" s="2"/>
      <c r="J3" s="39" t="s">
        <v>22</v>
      </c>
      <c r="K3" s="39" t="s">
        <v>21</v>
      </c>
      <c r="L3" s="39" t="s">
        <v>20</v>
      </c>
    </row>
    <row r="4" spans="1:12" ht="13.5" thickTop="1">
      <c r="C4" s="490"/>
      <c r="D4" s="490"/>
      <c r="H4" s="2"/>
      <c r="I4" s="2"/>
      <c r="J4" s="2"/>
      <c r="K4" s="2"/>
      <c r="L4" s="2"/>
    </row>
    <row r="5" spans="1:12" ht="39.75" customHeight="1" thickBot="1">
      <c r="A5" s="257"/>
      <c r="B5" s="258"/>
      <c r="C5" s="258"/>
      <c r="D5" s="258"/>
      <c r="E5" s="258"/>
      <c r="F5" s="41"/>
      <c r="H5" s="40" t="s">
        <v>15</v>
      </c>
      <c r="I5" s="39" t="s">
        <v>19</v>
      </c>
      <c r="J5" s="39" t="s">
        <v>18</v>
      </c>
      <c r="K5" s="39" t="s">
        <v>17</v>
      </c>
      <c r="L5" s="39" t="s">
        <v>16</v>
      </c>
    </row>
    <row r="6" spans="1:12" ht="13.5" thickTop="1">
      <c r="A6" s="257"/>
      <c r="B6" s="57"/>
      <c r="C6" s="57"/>
      <c r="D6" s="62"/>
      <c r="E6" s="62"/>
      <c r="H6" s="30" t="s">
        <v>9</v>
      </c>
      <c r="I6" s="29">
        <v>0.09</v>
      </c>
      <c r="J6" s="28">
        <v>145.9953412240389</v>
      </c>
      <c r="K6" s="28">
        <v>145.9953412240389</v>
      </c>
      <c r="L6" s="28" t="s">
        <v>7</v>
      </c>
    </row>
    <row r="7" spans="1:12">
      <c r="A7" s="57"/>
      <c r="B7" s="259"/>
      <c r="C7" s="62"/>
      <c r="D7" s="62"/>
      <c r="E7" s="260"/>
      <c r="H7" s="21" t="s">
        <v>6</v>
      </c>
      <c r="I7" s="20">
        <v>0.09</v>
      </c>
      <c r="J7" s="19">
        <v>113.32913199890129</v>
      </c>
      <c r="K7" s="19">
        <v>207.17008682219023</v>
      </c>
      <c r="L7" s="19">
        <v>149.6172005051672</v>
      </c>
    </row>
    <row r="8" spans="1:12">
      <c r="A8" s="261"/>
      <c r="B8" s="259"/>
      <c r="C8" s="62"/>
      <c r="D8" s="62"/>
      <c r="E8" s="62"/>
      <c r="H8" s="17" t="s">
        <v>5</v>
      </c>
      <c r="I8" s="16">
        <v>0.09</v>
      </c>
      <c r="J8" s="15">
        <v>28.564873954020015</v>
      </c>
      <c r="K8" s="15">
        <v>52.217707069146343</v>
      </c>
      <c r="L8" s="15">
        <v>0</v>
      </c>
    </row>
    <row r="9" spans="1:12">
      <c r="A9" s="261"/>
      <c r="B9" s="259"/>
      <c r="C9" s="62"/>
      <c r="D9" s="62"/>
      <c r="E9" s="62"/>
      <c r="H9" s="14" t="s">
        <v>4</v>
      </c>
      <c r="I9" s="13">
        <v>0.09</v>
      </c>
      <c r="J9" s="12">
        <v>120.80632427796667</v>
      </c>
      <c r="K9" s="12">
        <v>220.83868682219025</v>
      </c>
      <c r="L9" s="12">
        <v>162.53220050516722</v>
      </c>
    </row>
    <row r="10" spans="1:12">
      <c r="A10" s="261"/>
      <c r="B10" s="259"/>
      <c r="C10" s="62"/>
      <c r="D10" s="62"/>
      <c r="E10" s="62"/>
      <c r="H10" s="11" t="s">
        <v>3</v>
      </c>
      <c r="I10" s="10">
        <v>0.09</v>
      </c>
      <c r="J10" s="9">
        <v>41.777958352017095</v>
      </c>
      <c r="K10" s="9">
        <v>71.64068192399742</v>
      </c>
      <c r="L10" s="9">
        <v>0</v>
      </c>
    </row>
    <row r="11" spans="1:12">
      <c r="A11" s="261"/>
      <c r="B11" s="259"/>
      <c r="C11" s="62"/>
      <c r="D11" s="62"/>
      <c r="E11" s="62"/>
      <c r="H11" s="8" t="s">
        <v>2</v>
      </c>
      <c r="I11" s="7">
        <v>0.09</v>
      </c>
      <c r="J11" s="6">
        <v>52.54068912458564</v>
      </c>
      <c r="K11" s="6">
        <v>91</v>
      </c>
      <c r="L11" s="6">
        <v>0</v>
      </c>
    </row>
    <row r="12" spans="1:12" ht="13.5" thickBot="1">
      <c r="A12" s="261"/>
      <c r="B12" s="259"/>
      <c r="C12" s="62"/>
      <c r="D12" s="62"/>
      <c r="E12" s="62"/>
      <c r="H12" s="24" t="s">
        <v>1</v>
      </c>
      <c r="I12" s="23">
        <v>0.09</v>
      </c>
      <c r="J12" s="22">
        <v>4.5586732275783675</v>
      </c>
      <c r="K12" s="22">
        <v>16.604887270901258</v>
      </c>
      <c r="L12" s="22">
        <v>0</v>
      </c>
    </row>
    <row r="13" spans="1:12" ht="13.5" thickTop="1">
      <c r="A13" s="261"/>
      <c r="B13" s="259"/>
      <c r="C13" s="62"/>
      <c r="D13" s="62"/>
      <c r="E13" s="62"/>
      <c r="H13" s="30" t="s">
        <v>9</v>
      </c>
      <c r="I13" s="29">
        <v>7.0000000000000007E-2</v>
      </c>
      <c r="J13" s="28">
        <v>116.06226142180452</v>
      </c>
      <c r="K13" s="28">
        <v>116.06226142180452</v>
      </c>
      <c r="L13" s="28" t="s">
        <v>7</v>
      </c>
    </row>
    <row r="14" spans="1:12">
      <c r="H14" s="21" t="s">
        <v>6</v>
      </c>
      <c r="I14" s="20">
        <v>7.0000000000000007E-2</v>
      </c>
      <c r="J14" s="19">
        <v>139.9613723776913</v>
      </c>
      <c r="K14" s="19">
        <v>224.74737918659662</v>
      </c>
      <c r="L14" s="19">
        <v>191.73604974629444</v>
      </c>
    </row>
    <row r="15" spans="1:12">
      <c r="H15" s="17" t="s">
        <v>5</v>
      </c>
      <c r="I15" s="16">
        <v>7.0000000000000007E-2</v>
      </c>
      <c r="J15" s="15">
        <v>26.824004591868174</v>
      </c>
      <c r="K15" s="15">
        <v>43.073489698594301</v>
      </c>
      <c r="L15" s="15">
        <v>0</v>
      </c>
    </row>
    <row r="16" spans="1:12">
      <c r="H16" s="14" t="s">
        <v>4</v>
      </c>
      <c r="I16" s="13">
        <v>7.0000000000000007E-2</v>
      </c>
      <c r="J16" s="12">
        <v>148.23734279749243</v>
      </c>
      <c r="K16" s="12">
        <v>238.03677918659656</v>
      </c>
      <c r="L16" s="12">
        <v>204.65104974629446</v>
      </c>
    </row>
    <row r="17" spans="1:12" ht="13.5" thickBot="1">
      <c r="D17" s="38" t="s">
        <v>14</v>
      </c>
      <c r="E17" s="37" t="s">
        <v>13</v>
      </c>
      <c r="H17" s="11" t="s">
        <v>3</v>
      </c>
      <c r="I17" s="10">
        <v>7.0000000000000007E-2</v>
      </c>
      <c r="J17" s="9">
        <v>39.626385327796214</v>
      </c>
      <c r="K17" s="9">
        <v>60.889300014721272</v>
      </c>
      <c r="L17" s="9">
        <v>0</v>
      </c>
    </row>
    <row r="18" spans="1:12">
      <c r="C18" s="36" t="s">
        <v>12</v>
      </c>
      <c r="D18" s="35">
        <v>0.09</v>
      </c>
      <c r="E18" s="34">
        <v>0.45</v>
      </c>
      <c r="H18" s="8" t="s">
        <v>2</v>
      </c>
      <c r="I18" s="7">
        <v>7.0000000000000007E-2</v>
      </c>
      <c r="J18" s="6">
        <v>51.007244980382154</v>
      </c>
      <c r="K18" s="6">
        <v>78.72795007697141</v>
      </c>
      <c r="L18" s="6">
        <v>6.8036391508528027</v>
      </c>
    </row>
    <row r="19" spans="1:12" ht="13.5" thickBot="1">
      <c r="C19" s="33" t="s">
        <v>11</v>
      </c>
      <c r="D19" s="32">
        <v>7.0000000000000007E-2</v>
      </c>
      <c r="E19" s="31">
        <v>0.15</v>
      </c>
      <c r="H19" s="24" t="s">
        <v>1</v>
      </c>
      <c r="I19" s="23">
        <v>7.0000000000000007E-2</v>
      </c>
      <c r="J19" s="22">
        <v>4.5884345187221527</v>
      </c>
      <c r="K19" s="22">
        <v>12.65963555966141</v>
      </c>
      <c r="L19" s="22">
        <v>0</v>
      </c>
    </row>
    <row r="20" spans="1:12" ht="13.5" thickTop="1">
      <c r="C20" s="33" t="s">
        <v>10</v>
      </c>
      <c r="D20" s="32">
        <v>0.06</v>
      </c>
      <c r="E20" s="31">
        <v>0.1</v>
      </c>
      <c r="H20" s="30" t="s">
        <v>9</v>
      </c>
      <c r="I20" s="29">
        <v>0.06</v>
      </c>
      <c r="J20" s="28">
        <v>98.227081605935354</v>
      </c>
      <c r="K20" s="28">
        <v>98.227081605935354</v>
      </c>
      <c r="L20" s="28" t="s">
        <v>7</v>
      </c>
    </row>
    <row r="21" spans="1:12" ht="13.5" thickBot="1">
      <c r="C21" s="27" t="s">
        <v>8</v>
      </c>
      <c r="D21" s="26">
        <v>0.05</v>
      </c>
      <c r="E21" s="25" t="s">
        <v>7</v>
      </c>
      <c r="H21" s="21" t="s">
        <v>6</v>
      </c>
      <c r="I21" s="20">
        <v>0.06</v>
      </c>
      <c r="J21" s="19">
        <v>156.00065227403977</v>
      </c>
      <c r="K21" s="19">
        <v>234.56730118163568</v>
      </c>
      <c r="L21" s="19">
        <v>216.83193880335418</v>
      </c>
    </row>
    <row r="22" spans="1:12">
      <c r="H22" s="17" t="s">
        <v>5</v>
      </c>
      <c r="I22" s="16">
        <v>0.06</v>
      </c>
      <c r="J22" s="15">
        <v>24.700394799728514</v>
      </c>
      <c r="K22" s="15">
        <v>37.140261029904707</v>
      </c>
      <c r="L22" s="15">
        <v>1.7506961629976843</v>
      </c>
    </row>
    <row r="23" spans="1:12">
      <c r="H23" s="14" t="s">
        <v>4</v>
      </c>
      <c r="I23" s="13">
        <v>0.06</v>
      </c>
      <c r="J23" s="12">
        <v>164.71396455387415</v>
      </c>
      <c r="K23" s="12">
        <v>247.66890118163565</v>
      </c>
      <c r="L23" s="12">
        <v>229.7469388033542</v>
      </c>
    </row>
    <row r="24" spans="1:12">
      <c r="H24" s="11" t="s">
        <v>3</v>
      </c>
      <c r="I24" s="10">
        <v>0.06</v>
      </c>
      <c r="J24" s="9">
        <v>37.237109809906258</v>
      </c>
      <c r="K24" s="9">
        <v>54.065263760248058</v>
      </c>
      <c r="L24" s="9">
        <v>17.698942416706501</v>
      </c>
    </row>
    <row r="25" spans="1:12">
      <c r="H25" s="8" t="s">
        <v>2</v>
      </c>
      <c r="I25" s="7">
        <v>0.06</v>
      </c>
      <c r="J25" s="6">
        <v>48.376349446560511</v>
      </c>
      <c r="K25" s="6">
        <v>70.479212753500491</v>
      </c>
      <c r="L25" s="6">
        <v>31.899528207912539</v>
      </c>
    </row>
    <row r="26" spans="1:12" ht="13.5" thickBot="1">
      <c r="H26" s="24" t="s">
        <v>1</v>
      </c>
      <c r="I26" s="23">
        <v>0.06</v>
      </c>
      <c r="J26" s="22">
        <v>4.3690569338010619</v>
      </c>
      <c r="K26" s="22">
        <v>10.470699190820028</v>
      </c>
      <c r="L26" s="22">
        <v>0</v>
      </c>
    </row>
    <row r="27" spans="1:12" ht="13.5" thickTop="1">
      <c r="H27" s="21" t="s">
        <v>6</v>
      </c>
      <c r="I27" s="20">
        <v>0.05</v>
      </c>
      <c r="J27" s="19">
        <v>174.23471088658943</v>
      </c>
      <c r="K27" s="19">
        <v>245.16573532990952</v>
      </c>
      <c r="L27" s="19">
        <v>245.16573532990952</v>
      </c>
    </row>
    <row r="28" spans="1:12">
      <c r="A28" s="18"/>
      <c r="H28" s="17" t="s">
        <v>5</v>
      </c>
      <c r="I28" s="16">
        <v>0.05</v>
      </c>
      <c r="J28" s="15">
        <v>21.380487280901434</v>
      </c>
      <c r="K28" s="15">
        <v>30.084492689553031</v>
      </c>
      <c r="L28" s="15">
        <v>30.084492689553031</v>
      </c>
    </row>
    <row r="29" spans="1:12">
      <c r="H29" s="14" t="s">
        <v>4</v>
      </c>
      <c r="I29" s="13">
        <v>0.05</v>
      </c>
      <c r="J29" s="12">
        <v>183.41316026521997</v>
      </c>
      <c r="K29" s="12">
        <v>258.08073532990954</v>
      </c>
      <c r="L29" s="12">
        <v>258.08073532990954</v>
      </c>
    </row>
    <row r="30" spans="1:12">
      <c r="H30" s="11" t="s">
        <v>3</v>
      </c>
      <c r="I30" s="10">
        <v>0.05</v>
      </c>
      <c r="J30" s="9">
        <v>33.592182913240734</v>
      </c>
      <c r="K30" s="9">
        <v>46.032738943261847</v>
      </c>
      <c r="L30" s="9">
        <v>46.032738943261847</v>
      </c>
    </row>
    <row r="31" spans="1:12">
      <c r="H31" s="8" t="s">
        <v>2</v>
      </c>
      <c r="I31" s="7">
        <v>0.05</v>
      </c>
      <c r="J31" s="6">
        <v>43.851627181394434</v>
      </c>
      <c r="K31" s="6">
        <v>60.233324734467885</v>
      </c>
      <c r="L31" s="6">
        <v>60.233324734467885</v>
      </c>
    </row>
    <row r="32" spans="1:12">
      <c r="H32" s="5" t="s">
        <v>1</v>
      </c>
      <c r="I32" s="4">
        <v>0.05</v>
      </c>
      <c r="J32" s="3">
        <v>3.9072677056602174</v>
      </c>
      <c r="K32" s="3">
        <v>8.1229289378009071</v>
      </c>
      <c r="L32" s="3">
        <v>8.1229289378009071</v>
      </c>
    </row>
    <row r="33" s="2" customFormat="1" ht="6" customHeight="1"/>
    <row r="34" s="2" customFormat="1"/>
    <row r="35" s="2" customFormat="1"/>
    <row r="36" s="2" customFormat="1"/>
    <row r="37" s="2" customFormat="1"/>
  </sheetData>
  <mergeCells count="3">
    <mergeCell ref="C4:D4"/>
    <mergeCell ref="J2:L2"/>
    <mergeCell ref="B2:C2"/>
  </mergeCells>
  <dataValidations count="1">
    <dataValidation type="list" allowBlank="1" showInputMessage="1" showErrorMessage="1" sqref="D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D65538 IZ65538 SV65538 ACR65538 AMN65538 AWJ65538 BGF65538 BQB65538 BZX65538 CJT65538 CTP65538 DDL65538 DNH65538 DXD65538 EGZ65538 EQV65538 FAR65538 FKN65538 FUJ65538 GEF65538 GOB65538 GXX65538 HHT65538 HRP65538 IBL65538 ILH65538 IVD65538 JEZ65538 JOV65538 JYR65538 KIN65538 KSJ65538 LCF65538 LMB65538 LVX65538 MFT65538 MPP65538 MZL65538 NJH65538 NTD65538 OCZ65538 OMV65538 OWR65538 PGN65538 PQJ65538 QAF65538 QKB65538 QTX65538 RDT65538 RNP65538 RXL65538 SHH65538 SRD65538 TAZ65538 TKV65538 TUR65538 UEN65538 UOJ65538 UYF65538 VIB65538 VRX65538 WBT65538 WLP65538 WVL65538 D131074 IZ131074 SV131074 ACR131074 AMN131074 AWJ131074 BGF131074 BQB131074 BZX131074 CJT131074 CTP131074 DDL131074 DNH131074 DXD131074 EGZ131074 EQV131074 FAR131074 FKN131074 FUJ131074 GEF131074 GOB131074 GXX131074 HHT131074 HRP131074 IBL131074 ILH131074 IVD131074 JEZ131074 JOV131074 JYR131074 KIN131074 KSJ131074 LCF131074 LMB131074 LVX131074 MFT131074 MPP131074 MZL131074 NJH131074 NTD131074 OCZ131074 OMV131074 OWR131074 PGN131074 PQJ131074 QAF131074 QKB131074 QTX131074 RDT131074 RNP131074 RXL131074 SHH131074 SRD131074 TAZ131074 TKV131074 TUR131074 UEN131074 UOJ131074 UYF131074 VIB131074 VRX131074 WBT131074 WLP131074 WVL131074 D196610 IZ196610 SV196610 ACR196610 AMN196610 AWJ196610 BGF196610 BQB196610 BZX196610 CJT196610 CTP196610 DDL196610 DNH196610 DXD196610 EGZ196610 EQV196610 FAR196610 FKN196610 FUJ196610 GEF196610 GOB196610 GXX196610 HHT196610 HRP196610 IBL196610 ILH196610 IVD196610 JEZ196610 JOV196610 JYR196610 KIN196610 KSJ196610 LCF196610 LMB196610 LVX196610 MFT196610 MPP196610 MZL196610 NJH196610 NTD196610 OCZ196610 OMV196610 OWR196610 PGN196610 PQJ196610 QAF196610 QKB196610 QTX196610 RDT196610 RNP196610 RXL196610 SHH196610 SRD196610 TAZ196610 TKV196610 TUR196610 UEN196610 UOJ196610 UYF196610 VIB196610 VRX196610 WBT196610 WLP196610 WVL196610 D262146 IZ262146 SV262146 ACR262146 AMN262146 AWJ262146 BGF262146 BQB262146 BZX262146 CJT262146 CTP262146 DDL262146 DNH262146 DXD262146 EGZ262146 EQV262146 FAR262146 FKN262146 FUJ262146 GEF262146 GOB262146 GXX262146 HHT262146 HRP262146 IBL262146 ILH262146 IVD262146 JEZ262146 JOV262146 JYR262146 KIN262146 KSJ262146 LCF262146 LMB262146 LVX262146 MFT262146 MPP262146 MZL262146 NJH262146 NTD262146 OCZ262146 OMV262146 OWR262146 PGN262146 PQJ262146 QAF262146 QKB262146 QTX262146 RDT262146 RNP262146 RXL262146 SHH262146 SRD262146 TAZ262146 TKV262146 TUR262146 UEN262146 UOJ262146 UYF262146 VIB262146 VRX262146 WBT262146 WLP262146 WVL262146 D327682 IZ327682 SV327682 ACR327682 AMN327682 AWJ327682 BGF327682 BQB327682 BZX327682 CJT327682 CTP327682 DDL327682 DNH327682 DXD327682 EGZ327682 EQV327682 FAR327682 FKN327682 FUJ327682 GEF327682 GOB327682 GXX327682 HHT327682 HRP327682 IBL327682 ILH327682 IVD327682 JEZ327682 JOV327682 JYR327682 KIN327682 KSJ327682 LCF327682 LMB327682 LVX327682 MFT327682 MPP327682 MZL327682 NJH327682 NTD327682 OCZ327682 OMV327682 OWR327682 PGN327682 PQJ327682 QAF327682 QKB327682 QTX327682 RDT327682 RNP327682 RXL327682 SHH327682 SRD327682 TAZ327682 TKV327682 TUR327682 UEN327682 UOJ327682 UYF327682 VIB327682 VRX327682 WBT327682 WLP327682 WVL327682 D393218 IZ393218 SV393218 ACR393218 AMN393218 AWJ393218 BGF393218 BQB393218 BZX393218 CJT393218 CTP393218 DDL393218 DNH393218 DXD393218 EGZ393218 EQV393218 FAR393218 FKN393218 FUJ393218 GEF393218 GOB393218 GXX393218 HHT393218 HRP393218 IBL393218 ILH393218 IVD393218 JEZ393218 JOV393218 JYR393218 KIN393218 KSJ393218 LCF393218 LMB393218 LVX393218 MFT393218 MPP393218 MZL393218 NJH393218 NTD393218 OCZ393218 OMV393218 OWR393218 PGN393218 PQJ393218 QAF393218 QKB393218 QTX393218 RDT393218 RNP393218 RXL393218 SHH393218 SRD393218 TAZ393218 TKV393218 TUR393218 UEN393218 UOJ393218 UYF393218 VIB393218 VRX393218 WBT393218 WLP393218 WVL393218 D458754 IZ458754 SV458754 ACR458754 AMN458754 AWJ458754 BGF458754 BQB458754 BZX458754 CJT458754 CTP458754 DDL458754 DNH458754 DXD458754 EGZ458754 EQV458754 FAR458754 FKN458754 FUJ458754 GEF458754 GOB458754 GXX458754 HHT458754 HRP458754 IBL458754 ILH458754 IVD458754 JEZ458754 JOV458754 JYR458754 KIN458754 KSJ458754 LCF458754 LMB458754 LVX458754 MFT458754 MPP458754 MZL458754 NJH458754 NTD458754 OCZ458754 OMV458754 OWR458754 PGN458754 PQJ458754 QAF458754 QKB458754 QTX458754 RDT458754 RNP458754 RXL458754 SHH458754 SRD458754 TAZ458754 TKV458754 TUR458754 UEN458754 UOJ458754 UYF458754 VIB458754 VRX458754 WBT458754 WLP458754 WVL458754 D524290 IZ524290 SV524290 ACR524290 AMN524290 AWJ524290 BGF524290 BQB524290 BZX524290 CJT524290 CTP524290 DDL524290 DNH524290 DXD524290 EGZ524290 EQV524290 FAR524290 FKN524290 FUJ524290 GEF524290 GOB524290 GXX524290 HHT524290 HRP524290 IBL524290 ILH524290 IVD524290 JEZ524290 JOV524290 JYR524290 KIN524290 KSJ524290 LCF524290 LMB524290 LVX524290 MFT524290 MPP524290 MZL524290 NJH524290 NTD524290 OCZ524290 OMV524290 OWR524290 PGN524290 PQJ524290 QAF524290 QKB524290 QTX524290 RDT524290 RNP524290 RXL524290 SHH524290 SRD524290 TAZ524290 TKV524290 TUR524290 UEN524290 UOJ524290 UYF524290 VIB524290 VRX524290 WBT524290 WLP524290 WVL524290 D589826 IZ589826 SV589826 ACR589826 AMN589826 AWJ589826 BGF589826 BQB589826 BZX589826 CJT589826 CTP589826 DDL589826 DNH589826 DXD589826 EGZ589826 EQV589826 FAR589826 FKN589826 FUJ589826 GEF589826 GOB589826 GXX589826 HHT589826 HRP589826 IBL589826 ILH589826 IVD589826 JEZ589826 JOV589826 JYR589826 KIN589826 KSJ589826 LCF589826 LMB589826 LVX589826 MFT589826 MPP589826 MZL589826 NJH589826 NTD589826 OCZ589826 OMV589826 OWR589826 PGN589826 PQJ589826 QAF589826 QKB589826 QTX589826 RDT589826 RNP589826 RXL589826 SHH589826 SRD589826 TAZ589826 TKV589826 TUR589826 UEN589826 UOJ589826 UYF589826 VIB589826 VRX589826 WBT589826 WLP589826 WVL589826 D655362 IZ655362 SV655362 ACR655362 AMN655362 AWJ655362 BGF655362 BQB655362 BZX655362 CJT655362 CTP655362 DDL655362 DNH655362 DXD655362 EGZ655362 EQV655362 FAR655362 FKN655362 FUJ655362 GEF655362 GOB655362 GXX655362 HHT655362 HRP655362 IBL655362 ILH655362 IVD655362 JEZ655362 JOV655362 JYR655362 KIN655362 KSJ655362 LCF655362 LMB655362 LVX655362 MFT655362 MPP655362 MZL655362 NJH655362 NTD655362 OCZ655362 OMV655362 OWR655362 PGN655362 PQJ655362 QAF655362 QKB655362 QTX655362 RDT655362 RNP655362 RXL655362 SHH655362 SRD655362 TAZ655362 TKV655362 TUR655362 UEN655362 UOJ655362 UYF655362 VIB655362 VRX655362 WBT655362 WLP655362 WVL655362 D720898 IZ720898 SV720898 ACR720898 AMN720898 AWJ720898 BGF720898 BQB720898 BZX720898 CJT720898 CTP720898 DDL720898 DNH720898 DXD720898 EGZ720898 EQV720898 FAR720898 FKN720898 FUJ720898 GEF720898 GOB720898 GXX720898 HHT720898 HRP720898 IBL720898 ILH720898 IVD720898 JEZ720898 JOV720898 JYR720898 KIN720898 KSJ720898 LCF720898 LMB720898 LVX720898 MFT720898 MPP720898 MZL720898 NJH720898 NTD720898 OCZ720898 OMV720898 OWR720898 PGN720898 PQJ720898 QAF720898 QKB720898 QTX720898 RDT720898 RNP720898 RXL720898 SHH720898 SRD720898 TAZ720898 TKV720898 TUR720898 UEN720898 UOJ720898 UYF720898 VIB720898 VRX720898 WBT720898 WLP720898 WVL720898 D786434 IZ786434 SV786434 ACR786434 AMN786434 AWJ786434 BGF786434 BQB786434 BZX786434 CJT786434 CTP786434 DDL786434 DNH786434 DXD786434 EGZ786434 EQV786434 FAR786434 FKN786434 FUJ786434 GEF786434 GOB786434 GXX786434 HHT786434 HRP786434 IBL786434 ILH786434 IVD786434 JEZ786434 JOV786434 JYR786434 KIN786434 KSJ786434 LCF786434 LMB786434 LVX786434 MFT786434 MPP786434 MZL786434 NJH786434 NTD786434 OCZ786434 OMV786434 OWR786434 PGN786434 PQJ786434 QAF786434 QKB786434 QTX786434 RDT786434 RNP786434 RXL786434 SHH786434 SRD786434 TAZ786434 TKV786434 TUR786434 UEN786434 UOJ786434 UYF786434 VIB786434 VRX786434 WBT786434 WLP786434 WVL786434 D851970 IZ851970 SV851970 ACR851970 AMN851970 AWJ851970 BGF851970 BQB851970 BZX851970 CJT851970 CTP851970 DDL851970 DNH851970 DXD851970 EGZ851970 EQV851970 FAR851970 FKN851970 FUJ851970 GEF851970 GOB851970 GXX851970 HHT851970 HRP851970 IBL851970 ILH851970 IVD851970 JEZ851970 JOV851970 JYR851970 KIN851970 KSJ851970 LCF851970 LMB851970 LVX851970 MFT851970 MPP851970 MZL851970 NJH851970 NTD851970 OCZ851970 OMV851970 OWR851970 PGN851970 PQJ851970 QAF851970 QKB851970 QTX851970 RDT851970 RNP851970 RXL851970 SHH851970 SRD851970 TAZ851970 TKV851970 TUR851970 UEN851970 UOJ851970 UYF851970 VIB851970 VRX851970 WBT851970 WLP851970 WVL851970 D917506 IZ917506 SV917506 ACR917506 AMN917506 AWJ917506 BGF917506 BQB917506 BZX917506 CJT917506 CTP917506 DDL917506 DNH917506 DXD917506 EGZ917506 EQV917506 FAR917506 FKN917506 FUJ917506 GEF917506 GOB917506 GXX917506 HHT917506 HRP917506 IBL917506 ILH917506 IVD917506 JEZ917506 JOV917506 JYR917506 KIN917506 KSJ917506 LCF917506 LMB917506 LVX917506 MFT917506 MPP917506 MZL917506 NJH917506 NTD917506 OCZ917506 OMV917506 OWR917506 PGN917506 PQJ917506 QAF917506 QKB917506 QTX917506 RDT917506 RNP917506 RXL917506 SHH917506 SRD917506 TAZ917506 TKV917506 TUR917506 UEN917506 UOJ917506 UYF917506 VIB917506 VRX917506 WBT917506 WLP917506 WVL917506 D983042 IZ983042 SV983042 ACR983042 AMN983042 AWJ983042 BGF983042 BQB983042 BZX983042 CJT983042 CTP983042 DDL983042 DNH983042 DXD983042 EGZ983042 EQV983042 FAR983042 FKN983042 FUJ983042 GEF983042 GOB983042 GXX983042 HHT983042 HRP983042 IBL983042 ILH983042 IVD983042 JEZ983042 JOV983042 JYR983042 KIN983042 KSJ983042 LCF983042 LMB983042 LVX983042 MFT983042 MPP983042 MZL983042 NJH983042 NTD983042 OCZ983042 OMV983042 OWR983042 PGN983042 PQJ983042 QAF983042 QKB983042 QTX983042 RDT983042 RNP983042 RXL983042 SHH983042 SRD983042 TAZ983042 TKV983042 TUR983042 UEN983042 UOJ983042 UYF983042 VIB983042 VRX983042 WBT983042 WLP983042 WVL983042">
      <formula1>$D$18:$D$21</formula1>
    </dataValidation>
  </dataValidations>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N51"/>
  <sheetViews>
    <sheetView zoomScaleNormal="100" workbookViewId="0"/>
  </sheetViews>
  <sheetFormatPr defaultColWidth="9.140625" defaultRowHeight="12.75"/>
  <cols>
    <col min="1" max="1" width="22.42578125" style="44" customWidth="1"/>
    <col min="2" max="2" width="11.140625" style="1" customWidth="1"/>
    <col min="3" max="3" width="12.42578125" style="43" bestFit="1" customWidth="1"/>
    <col min="4" max="4" width="8.85546875" style="43" customWidth="1"/>
    <col min="5" max="5" width="7.85546875" style="1" customWidth="1"/>
    <col min="6" max="6" width="8.42578125" style="1" customWidth="1"/>
    <col min="7" max="7" width="16.42578125" style="1" customWidth="1"/>
    <col min="8" max="8" width="13" style="1" customWidth="1"/>
    <col min="9" max="9" width="11" style="1" customWidth="1"/>
    <col min="10" max="10" width="9.140625" style="1" customWidth="1"/>
    <col min="11" max="11" width="2.42578125" style="45" customWidth="1"/>
    <col min="12" max="12" width="19" style="45" bestFit="1" customWidth="1"/>
    <col min="13" max="13" width="3.140625" style="45" customWidth="1"/>
    <col min="14" max="14" width="21.5703125" style="45" bestFit="1" customWidth="1"/>
    <col min="15" max="16384" width="9.140625" style="1"/>
  </cols>
  <sheetData>
    <row r="1" spans="1:14" s="188" customFormat="1" ht="31.7" customHeight="1">
      <c r="A1" s="295" t="s">
        <v>90</v>
      </c>
      <c r="B1" s="296"/>
      <c r="C1" s="297"/>
      <c r="D1" s="297"/>
      <c r="K1" s="398"/>
      <c r="L1" s="393"/>
      <c r="M1" s="393"/>
      <c r="N1" s="393"/>
    </row>
    <row r="2" spans="1:14">
      <c r="A2" s="291" t="s">
        <v>140</v>
      </c>
      <c r="B2" s="292" t="s">
        <v>151</v>
      </c>
      <c r="C2" s="293"/>
      <c r="D2" s="293"/>
      <c r="E2" s="294"/>
      <c r="F2" s="294"/>
      <c r="G2" s="294"/>
      <c r="H2" s="294"/>
      <c r="I2" s="294"/>
      <c r="J2" s="294"/>
      <c r="K2" s="294"/>
      <c r="L2" s="294"/>
      <c r="M2" s="294"/>
      <c r="N2" s="294"/>
    </row>
    <row r="3" spans="1:14">
      <c r="A3" s="76"/>
      <c r="K3" s="113"/>
    </row>
    <row r="4" spans="1:14">
      <c r="A4" s="75" t="s">
        <v>64</v>
      </c>
      <c r="B4" s="73"/>
      <c r="C4" s="74"/>
      <c r="D4" s="74"/>
      <c r="E4" s="73"/>
      <c r="F4" s="73"/>
      <c r="G4" s="73"/>
      <c r="H4" s="73"/>
      <c r="I4" s="122"/>
      <c r="K4" s="113"/>
    </row>
    <row r="5" spans="1:14">
      <c r="A5" s="72" t="s">
        <v>63</v>
      </c>
      <c r="B5" s="71">
        <v>300</v>
      </c>
      <c r="F5" s="1" t="s">
        <v>62</v>
      </c>
      <c r="G5" s="41">
        <v>0.09</v>
      </c>
      <c r="K5" s="113"/>
    </row>
    <row r="6" spans="1:14">
      <c r="A6" s="72" t="s">
        <v>61</v>
      </c>
      <c r="B6" s="92">
        <v>0.02</v>
      </c>
      <c r="K6" s="113"/>
    </row>
    <row r="7" spans="1:14" ht="15" customHeight="1">
      <c r="A7" s="91" t="s">
        <v>60</v>
      </c>
      <c r="B7" s="90" t="s">
        <v>59</v>
      </c>
      <c r="K7" s="113"/>
    </row>
    <row r="8" spans="1:14" ht="15" customHeight="1">
      <c r="A8" s="89"/>
      <c r="B8" s="88"/>
      <c r="K8" s="113"/>
    </row>
    <row r="9" spans="1:14" s="85" customFormat="1">
      <c r="A9" s="87"/>
      <c r="C9" s="86"/>
      <c r="D9" s="514" t="s">
        <v>58</v>
      </c>
      <c r="E9" s="514"/>
      <c r="F9" s="514"/>
      <c r="K9" s="129"/>
      <c r="L9" s="519" t="s">
        <v>101</v>
      </c>
      <c r="M9" s="519"/>
      <c r="N9" s="519"/>
    </row>
    <row r="10" spans="1:14" s="81" customFormat="1" ht="55.5" customHeight="1">
      <c r="A10" s="84" t="s">
        <v>57</v>
      </c>
      <c r="B10" s="82" t="s">
        <v>56</v>
      </c>
      <c r="C10" s="83" t="s">
        <v>55</v>
      </c>
      <c r="D10" s="83" t="s">
        <v>54</v>
      </c>
      <c r="E10" s="82" t="s">
        <v>53</v>
      </c>
      <c r="F10" s="82" t="s">
        <v>52</v>
      </c>
      <c r="G10" s="82" t="s">
        <v>89</v>
      </c>
      <c r="H10" s="82" t="s">
        <v>137</v>
      </c>
      <c r="K10" s="128"/>
      <c r="L10" s="302" t="s">
        <v>107</v>
      </c>
      <c r="M10" s="376"/>
      <c r="N10" s="377" t="s">
        <v>106</v>
      </c>
    </row>
    <row r="11" spans="1:14">
      <c r="K11" s="113"/>
      <c r="L11" s="412"/>
      <c r="M11" s="413"/>
      <c r="N11" s="413"/>
    </row>
    <row r="12" spans="1:14">
      <c r="A12" s="162" t="s">
        <v>74</v>
      </c>
      <c r="G12" s="80"/>
      <c r="K12" s="113"/>
      <c r="L12" s="412"/>
      <c r="M12" s="413"/>
      <c r="N12" s="413"/>
    </row>
    <row r="13" spans="1:14">
      <c r="A13" s="162" t="s">
        <v>73</v>
      </c>
      <c r="B13" s="79">
        <v>1</v>
      </c>
      <c r="C13" s="161">
        <f>$B$5</f>
        <v>300</v>
      </c>
      <c r="D13" s="161"/>
      <c r="E13" s="161">
        <f>C13*$B$6</f>
        <v>6</v>
      </c>
      <c r="F13" s="161">
        <f t="shared" ref="F13:F33" si="0">D13+E13</f>
        <v>6</v>
      </c>
      <c r="G13" s="161">
        <v>0.29924646503129837</v>
      </c>
      <c r="H13" s="161">
        <f t="shared" ref="H13:H33" si="1">F13/G13</f>
        <v>20.050362163417557</v>
      </c>
      <c r="I13" s="161"/>
      <c r="J13" s="161"/>
      <c r="K13" s="276"/>
      <c r="L13" s="414"/>
      <c r="M13" s="415"/>
      <c r="N13" s="415"/>
    </row>
    <row r="14" spans="1:14">
      <c r="A14" s="162" t="s">
        <v>72</v>
      </c>
      <c r="B14" s="79">
        <v>2</v>
      </c>
      <c r="C14" s="161">
        <f>$B$5</f>
        <v>300</v>
      </c>
      <c r="D14" s="161"/>
      <c r="E14" s="161">
        <f>C14*$B$6</f>
        <v>6</v>
      </c>
      <c r="F14" s="161">
        <f t="shared" si="0"/>
        <v>6</v>
      </c>
      <c r="G14" s="161">
        <v>0.32617864688411524</v>
      </c>
      <c r="H14" s="161">
        <f t="shared" si="1"/>
        <v>18.394827672860142</v>
      </c>
      <c r="I14" s="161"/>
      <c r="J14" s="161"/>
      <c r="K14" s="276"/>
      <c r="L14" s="414"/>
      <c r="M14" s="415"/>
      <c r="N14" s="415"/>
    </row>
    <row r="15" spans="1:14">
      <c r="A15" s="162" t="s">
        <v>71</v>
      </c>
      <c r="B15" s="79">
        <v>3</v>
      </c>
      <c r="C15" s="161">
        <f>$B$5</f>
        <v>300</v>
      </c>
      <c r="D15" s="161"/>
      <c r="E15" s="161">
        <f>C15*$B$6</f>
        <v>6</v>
      </c>
      <c r="F15" s="161">
        <f t="shared" si="0"/>
        <v>6</v>
      </c>
      <c r="G15" s="161">
        <v>0.35553472510368567</v>
      </c>
      <c r="H15" s="161">
        <f t="shared" si="1"/>
        <v>16.875988690697376</v>
      </c>
      <c r="I15" s="161"/>
      <c r="J15" s="161"/>
      <c r="K15" s="276"/>
      <c r="L15" s="414"/>
      <c r="M15" s="415"/>
      <c r="N15" s="415"/>
    </row>
    <row r="16" spans="1:14">
      <c r="A16" s="162" t="s">
        <v>70</v>
      </c>
      <c r="B16" s="79">
        <v>4</v>
      </c>
      <c r="C16" s="161">
        <f>$B$5</f>
        <v>300</v>
      </c>
      <c r="D16" s="161"/>
      <c r="E16" s="161">
        <f>C16*$B$6</f>
        <v>6</v>
      </c>
      <c r="F16" s="161">
        <f t="shared" si="0"/>
        <v>6</v>
      </c>
      <c r="G16" s="161">
        <v>0.38753285036301738</v>
      </c>
      <c r="H16" s="161">
        <f t="shared" si="1"/>
        <v>15.482558431832455</v>
      </c>
      <c r="I16" s="161"/>
      <c r="J16" s="161"/>
      <c r="K16" s="276"/>
      <c r="L16" s="414"/>
      <c r="M16" s="415"/>
      <c r="N16" s="415"/>
    </row>
    <row r="17" spans="1:14">
      <c r="A17" s="162" t="s">
        <v>69</v>
      </c>
      <c r="B17" s="79">
        <v>5</v>
      </c>
      <c r="C17" s="161">
        <f t="shared" ref="C17:C33" si="2">C16-D16</f>
        <v>300</v>
      </c>
      <c r="D17" s="56"/>
      <c r="E17" s="161">
        <f>C17*$B$6</f>
        <v>6</v>
      </c>
      <c r="F17" s="161">
        <f t="shared" si="0"/>
        <v>6</v>
      </c>
      <c r="G17" s="161">
        <v>0.42241080689568894</v>
      </c>
      <c r="H17" s="161">
        <f t="shared" si="1"/>
        <v>14.204182047552711</v>
      </c>
      <c r="I17" s="161"/>
      <c r="J17" s="161"/>
      <c r="K17" s="276"/>
      <c r="L17" s="414"/>
      <c r="M17" s="415"/>
      <c r="N17" s="415"/>
    </row>
    <row r="18" spans="1:14" ht="12.75" customHeight="1">
      <c r="A18" s="162" t="s">
        <v>68</v>
      </c>
      <c r="B18" s="79">
        <v>6</v>
      </c>
      <c r="C18" s="161">
        <f t="shared" si="2"/>
        <v>300</v>
      </c>
      <c r="D18" s="56">
        <f t="shared" ref="D18:D26" si="3">$C$18/13</f>
        <v>23.076923076923077</v>
      </c>
      <c r="E18" s="161">
        <f t="shared" ref="E18:E33" si="4">(C18*$B$6)</f>
        <v>6</v>
      </c>
      <c r="F18" s="161">
        <f t="shared" si="0"/>
        <v>29.076923076923077</v>
      </c>
      <c r="G18" s="161">
        <v>0.46042777951630098</v>
      </c>
      <c r="H18" s="161">
        <f t="shared" si="1"/>
        <v>63.151973817630257</v>
      </c>
      <c r="I18" s="161"/>
      <c r="J18" s="161"/>
      <c r="K18" s="276"/>
      <c r="L18" s="414"/>
      <c r="M18" s="415"/>
      <c r="N18" s="415"/>
    </row>
    <row r="19" spans="1:14">
      <c r="A19" s="162" t="s">
        <v>49</v>
      </c>
      <c r="B19" s="79">
        <v>7</v>
      </c>
      <c r="C19" s="161">
        <f t="shared" si="2"/>
        <v>276.92307692307691</v>
      </c>
      <c r="D19" s="56">
        <f t="shared" si="3"/>
        <v>23.076923076923077</v>
      </c>
      <c r="E19" s="161">
        <f t="shared" si="4"/>
        <v>5.5384615384615383</v>
      </c>
      <c r="F19" s="161">
        <f t="shared" si="0"/>
        <v>28.615384615384613</v>
      </c>
      <c r="G19" s="161">
        <v>0.50186627967276809</v>
      </c>
      <c r="H19" s="161">
        <f t="shared" si="1"/>
        <v>57.017946362211674</v>
      </c>
      <c r="I19" s="161"/>
      <c r="J19" s="161"/>
      <c r="K19" s="276"/>
      <c r="L19" s="414"/>
      <c r="M19" s="415"/>
      <c r="N19" s="416"/>
    </row>
    <row r="20" spans="1:14">
      <c r="A20" s="162" t="s">
        <v>48</v>
      </c>
      <c r="B20" s="79">
        <v>8</v>
      </c>
      <c r="C20" s="161">
        <f t="shared" si="2"/>
        <v>253.84615384615384</v>
      </c>
      <c r="D20" s="56">
        <f t="shared" si="3"/>
        <v>23.076923076923077</v>
      </c>
      <c r="E20" s="161">
        <f t="shared" si="4"/>
        <v>5.0769230769230766</v>
      </c>
      <c r="F20" s="161">
        <f t="shared" si="0"/>
        <v>28.153846153846153</v>
      </c>
      <c r="G20" s="161">
        <v>0.54703424484331731</v>
      </c>
      <c r="H20" s="161">
        <f t="shared" si="1"/>
        <v>51.466332170685284</v>
      </c>
      <c r="I20" s="161"/>
      <c r="J20" s="161"/>
      <c r="K20" s="276"/>
      <c r="L20" s="414"/>
      <c r="M20" s="415"/>
      <c r="N20" s="416"/>
    </row>
    <row r="21" spans="1:14">
      <c r="A21" s="162" t="s">
        <v>47</v>
      </c>
      <c r="B21" s="79">
        <v>9</v>
      </c>
      <c r="C21" s="161">
        <f t="shared" si="2"/>
        <v>230.76923076923077</v>
      </c>
      <c r="D21" s="56">
        <f t="shared" si="3"/>
        <v>23.076923076923077</v>
      </c>
      <c r="E21" s="161">
        <f t="shared" si="4"/>
        <v>4.6153846153846159</v>
      </c>
      <c r="F21" s="161">
        <f t="shared" si="0"/>
        <v>27.692307692307693</v>
      </c>
      <c r="G21" s="161">
        <v>0.5962673268792158</v>
      </c>
      <c r="H21" s="161">
        <f t="shared" si="1"/>
        <v>46.442772300212326</v>
      </c>
      <c r="I21" s="161"/>
      <c r="J21" s="161"/>
      <c r="K21" s="276"/>
      <c r="L21" s="414"/>
      <c r="M21" s="415"/>
      <c r="N21" s="416"/>
    </row>
    <row r="22" spans="1:14">
      <c r="A22" s="162" t="s">
        <v>46</v>
      </c>
      <c r="B22" s="79">
        <v>10</v>
      </c>
      <c r="C22" s="161">
        <f t="shared" si="2"/>
        <v>207.69230769230771</v>
      </c>
      <c r="D22" s="56">
        <f t="shared" si="3"/>
        <v>23.076923076923077</v>
      </c>
      <c r="E22" s="161">
        <f t="shared" si="4"/>
        <v>4.1538461538461542</v>
      </c>
      <c r="F22" s="161">
        <f t="shared" si="0"/>
        <v>27.23076923076923</v>
      </c>
      <c r="G22" s="161">
        <v>0.64993138629834524</v>
      </c>
      <c r="H22" s="161">
        <f t="shared" si="1"/>
        <v>41.897913848815399</v>
      </c>
      <c r="I22" s="161"/>
      <c r="J22" s="161"/>
      <c r="K22" s="276"/>
      <c r="L22" s="414"/>
      <c r="M22" s="415"/>
      <c r="N22" s="416"/>
    </row>
    <row r="23" spans="1:14">
      <c r="A23" s="162" t="s">
        <v>45</v>
      </c>
      <c r="B23" s="79">
        <v>11</v>
      </c>
      <c r="C23" s="161">
        <f t="shared" si="2"/>
        <v>184.61538461538464</v>
      </c>
      <c r="D23" s="56">
        <f t="shared" si="3"/>
        <v>23.076923076923077</v>
      </c>
      <c r="E23" s="161">
        <f t="shared" si="4"/>
        <v>3.692307692307693</v>
      </c>
      <c r="F23" s="161">
        <f t="shared" si="0"/>
        <v>26.76923076923077</v>
      </c>
      <c r="G23" s="161">
        <v>0.7084252110651964</v>
      </c>
      <c r="H23" s="161">
        <f t="shared" si="1"/>
        <v>37.786953867692318</v>
      </c>
      <c r="I23" s="161"/>
      <c r="J23" s="161"/>
      <c r="K23" s="276"/>
      <c r="L23" s="414"/>
      <c r="M23" s="415"/>
      <c r="N23" s="416"/>
    </row>
    <row r="24" spans="1:14">
      <c r="A24" s="162" t="s">
        <v>44</v>
      </c>
      <c r="B24" s="79">
        <v>12</v>
      </c>
      <c r="C24" s="161">
        <f t="shared" si="2"/>
        <v>161.53846153846158</v>
      </c>
      <c r="D24" s="56">
        <f t="shared" si="3"/>
        <v>23.076923076923077</v>
      </c>
      <c r="E24" s="161">
        <f t="shared" si="4"/>
        <v>3.2307692307692317</v>
      </c>
      <c r="F24" s="161">
        <f t="shared" si="0"/>
        <v>26.307692307692307</v>
      </c>
      <c r="G24" s="161">
        <v>0.77218348006106419</v>
      </c>
      <c r="H24" s="161">
        <f t="shared" si="1"/>
        <v>34.069224461538461</v>
      </c>
      <c r="I24" s="161"/>
      <c r="J24" s="161"/>
      <c r="K24" s="276"/>
      <c r="L24" s="414"/>
      <c r="M24" s="415"/>
      <c r="N24" s="416"/>
    </row>
    <row r="25" spans="1:14" ht="12.75" customHeight="1">
      <c r="A25" s="59" t="s">
        <v>43</v>
      </c>
      <c r="B25" s="58">
        <v>13</v>
      </c>
      <c r="C25" s="56">
        <f t="shared" si="2"/>
        <v>138.46153846153851</v>
      </c>
      <c r="D25" s="56">
        <f t="shared" si="3"/>
        <v>23.076923076923077</v>
      </c>
      <c r="E25" s="56">
        <f t="shared" si="4"/>
        <v>2.7692307692307701</v>
      </c>
      <c r="F25" s="56">
        <f t="shared" si="0"/>
        <v>25.846153846153847</v>
      </c>
      <c r="G25" s="56">
        <v>0.84167999326655996</v>
      </c>
      <c r="H25" s="56">
        <f t="shared" si="1"/>
        <v>30.70781538461539</v>
      </c>
      <c r="I25" s="161"/>
      <c r="J25" s="56"/>
      <c r="K25" s="276"/>
      <c r="L25" s="414"/>
      <c r="M25" s="415"/>
      <c r="N25" s="416"/>
    </row>
    <row r="26" spans="1:14" s="2" customFormat="1" ht="12.75" customHeight="1">
      <c r="A26" s="169" t="s">
        <v>42</v>
      </c>
      <c r="B26" s="168">
        <v>14</v>
      </c>
      <c r="C26" s="167">
        <f t="shared" si="2"/>
        <v>115.38461538461543</v>
      </c>
      <c r="D26" s="167">
        <f t="shared" si="3"/>
        <v>23.076923076923077</v>
      </c>
      <c r="E26" s="167">
        <f t="shared" si="4"/>
        <v>2.3076923076923088</v>
      </c>
      <c r="F26" s="167">
        <f t="shared" si="0"/>
        <v>25.384615384615387</v>
      </c>
      <c r="G26" s="167">
        <v>0.9174311926605504</v>
      </c>
      <c r="H26" s="167">
        <f t="shared" si="1"/>
        <v>27.669230769230772</v>
      </c>
      <c r="I26" s="515" t="s">
        <v>79</v>
      </c>
      <c r="J26" s="280"/>
      <c r="K26" s="276"/>
      <c r="L26" s="414"/>
      <c r="M26" s="415"/>
      <c r="N26" s="416"/>
    </row>
    <row r="27" spans="1:14" ht="16.5" customHeight="1">
      <c r="A27" s="162" t="s">
        <v>41</v>
      </c>
      <c r="B27" s="79">
        <v>15</v>
      </c>
      <c r="C27" s="161">
        <f t="shared" si="2"/>
        <v>92.307692307692349</v>
      </c>
      <c r="D27" s="56"/>
      <c r="E27" s="161">
        <f t="shared" si="4"/>
        <v>1.8461538461538469</v>
      </c>
      <c r="F27" s="161">
        <f t="shared" si="0"/>
        <v>1.8461538461538469</v>
      </c>
      <c r="G27" s="161">
        <v>1</v>
      </c>
      <c r="H27" s="161">
        <f t="shared" si="1"/>
        <v>1.8461538461538469</v>
      </c>
      <c r="I27" s="515"/>
      <c r="J27" s="520" t="s">
        <v>82</v>
      </c>
      <c r="K27" s="276"/>
      <c r="L27" s="414">
        <v>24.923076923076923</v>
      </c>
      <c r="M27" s="415"/>
      <c r="N27" s="416">
        <f>L27-H27</f>
        <v>23.076923076923077</v>
      </c>
    </row>
    <row r="28" spans="1:14">
      <c r="A28" s="162" t="s">
        <v>40</v>
      </c>
      <c r="B28" s="79">
        <v>16</v>
      </c>
      <c r="C28" s="161">
        <f t="shared" si="2"/>
        <v>92.307692307692349</v>
      </c>
      <c r="D28" s="56"/>
      <c r="E28" s="161">
        <f t="shared" si="4"/>
        <v>1.8461538461538469</v>
      </c>
      <c r="F28" s="161">
        <f t="shared" si="0"/>
        <v>1.8461538461538469</v>
      </c>
      <c r="G28" s="161">
        <v>1.0900000000000001</v>
      </c>
      <c r="H28" s="161">
        <f t="shared" si="1"/>
        <v>1.693719124911786</v>
      </c>
      <c r="I28" s="161"/>
      <c r="J28" s="520"/>
      <c r="K28" s="276"/>
      <c r="L28" s="414">
        <v>22.441778405081159</v>
      </c>
      <c r="M28" s="415"/>
      <c r="N28" s="416">
        <f t="shared" ref="N28:N33" si="5">L28-H28</f>
        <v>20.748059280169372</v>
      </c>
    </row>
    <row r="29" spans="1:14">
      <c r="A29" s="162" t="s">
        <v>39</v>
      </c>
      <c r="B29" s="79">
        <v>17</v>
      </c>
      <c r="C29" s="161">
        <f t="shared" si="2"/>
        <v>92.307692307692349</v>
      </c>
      <c r="D29" s="56"/>
      <c r="E29" s="161">
        <f t="shared" si="4"/>
        <v>1.8461538461538469</v>
      </c>
      <c r="F29" s="161">
        <f t="shared" si="0"/>
        <v>1.8461538461538469</v>
      </c>
      <c r="G29" s="161">
        <v>1.1881000000000002</v>
      </c>
      <c r="H29" s="161">
        <f t="shared" si="1"/>
        <v>1.5538707567998036</v>
      </c>
      <c r="I29" s="161"/>
      <c r="J29" s="520"/>
      <c r="K29" s="276"/>
      <c r="L29" s="414">
        <v>20.200319838397437</v>
      </c>
      <c r="M29" s="415"/>
      <c r="N29" s="416">
        <f t="shared" si="5"/>
        <v>18.646449081597634</v>
      </c>
    </row>
    <row r="30" spans="1:14" s="188" customFormat="1" ht="18.75" customHeight="1">
      <c r="A30" s="185" t="s">
        <v>38</v>
      </c>
      <c r="B30" s="186">
        <v>18</v>
      </c>
      <c r="C30" s="187">
        <f t="shared" si="2"/>
        <v>92.307692307692349</v>
      </c>
      <c r="D30" s="281"/>
      <c r="E30" s="187">
        <f t="shared" si="4"/>
        <v>1.8461538461538469</v>
      </c>
      <c r="F30" s="187">
        <f t="shared" si="0"/>
        <v>1.8461538461538469</v>
      </c>
      <c r="G30" s="187">
        <v>1.2950290000000002</v>
      </c>
      <c r="H30" s="187">
        <f t="shared" si="1"/>
        <v>1.425569501651196</v>
      </c>
      <c r="I30" s="187"/>
      <c r="J30" s="521"/>
      <c r="K30" s="282"/>
      <c r="L30" s="417">
        <v>18.17601114605274</v>
      </c>
      <c r="M30" s="418"/>
      <c r="N30" s="416">
        <f t="shared" si="5"/>
        <v>16.750441644401544</v>
      </c>
    </row>
    <row r="31" spans="1:14" ht="18" customHeight="1">
      <c r="A31" s="153" t="s">
        <v>37</v>
      </c>
      <c r="B31" s="152">
        <v>19</v>
      </c>
      <c r="C31" s="160">
        <f t="shared" si="2"/>
        <v>92.307692307692349</v>
      </c>
      <c r="D31" s="160">
        <f>$C$30/3</f>
        <v>30.769230769230784</v>
      </c>
      <c r="E31" s="160">
        <f t="shared" si="4"/>
        <v>1.8461538461538469</v>
      </c>
      <c r="F31" s="160">
        <f t="shared" si="0"/>
        <v>32.615384615384635</v>
      </c>
      <c r="G31" s="160">
        <v>1.4115816100000003</v>
      </c>
      <c r="H31" s="160">
        <f t="shared" si="1"/>
        <v>23.10556073012642</v>
      </c>
      <c r="I31" s="161"/>
      <c r="J31" s="518" t="s">
        <v>81</v>
      </c>
      <c r="K31" s="276"/>
      <c r="L31" s="414"/>
      <c r="M31" s="415"/>
      <c r="N31" s="416">
        <f t="shared" si="5"/>
        <v>-23.10556073012642</v>
      </c>
    </row>
    <row r="32" spans="1:14" ht="18" customHeight="1">
      <c r="A32" s="153" t="s">
        <v>36</v>
      </c>
      <c r="B32" s="152">
        <v>20</v>
      </c>
      <c r="C32" s="160">
        <f t="shared" si="2"/>
        <v>61.538461538461561</v>
      </c>
      <c r="D32" s="160">
        <f>$C$30/3</f>
        <v>30.769230769230784</v>
      </c>
      <c r="E32" s="160">
        <f t="shared" si="4"/>
        <v>1.2307692307692313</v>
      </c>
      <c r="F32" s="160">
        <f t="shared" si="0"/>
        <v>32.000000000000014</v>
      </c>
      <c r="G32" s="160">
        <v>1.5386239549000005</v>
      </c>
      <c r="H32" s="160">
        <f t="shared" si="1"/>
        <v>20.797804361547058</v>
      </c>
      <c r="I32" s="161"/>
      <c r="J32" s="518"/>
      <c r="K32" s="276"/>
      <c r="L32" s="414"/>
      <c r="M32" s="415"/>
      <c r="N32" s="416">
        <f t="shared" si="5"/>
        <v>-20.797804361547058</v>
      </c>
    </row>
    <row r="33" spans="1:14" ht="18" customHeight="1">
      <c r="A33" s="153" t="s">
        <v>35</v>
      </c>
      <c r="B33" s="152">
        <v>21</v>
      </c>
      <c r="C33" s="160">
        <f t="shared" si="2"/>
        <v>30.769230769230777</v>
      </c>
      <c r="D33" s="160">
        <f>$C$30/3</f>
        <v>30.769230769230784</v>
      </c>
      <c r="E33" s="160">
        <f t="shared" si="4"/>
        <v>0.61538461538461553</v>
      </c>
      <c r="F33" s="160">
        <f t="shared" si="0"/>
        <v>31.384615384615401</v>
      </c>
      <c r="G33" s="160">
        <v>1.6771001108410006</v>
      </c>
      <c r="H33" s="160">
        <f t="shared" si="1"/>
        <v>18.713620720516936</v>
      </c>
      <c r="I33" s="161"/>
      <c r="J33" s="518"/>
      <c r="K33" s="276"/>
      <c r="L33" s="414"/>
      <c r="M33" s="415"/>
      <c r="N33" s="416">
        <f t="shared" si="5"/>
        <v>-18.713620720516936</v>
      </c>
    </row>
    <row r="34" spans="1:14">
      <c r="A34" s="162"/>
      <c r="B34" s="79"/>
      <c r="C34" s="161"/>
      <c r="D34" s="56"/>
      <c r="E34" s="161"/>
      <c r="F34" s="161"/>
      <c r="G34" s="56"/>
      <c r="H34" s="56"/>
      <c r="I34" s="161"/>
      <c r="J34" s="161"/>
      <c r="K34" s="276"/>
      <c r="L34" s="414"/>
      <c r="M34" s="415"/>
      <c r="N34" s="416"/>
    </row>
    <row r="35" spans="1:14" s="66" customFormat="1">
      <c r="A35" s="137"/>
      <c r="C35" s="172"/>
      <c r="D35" s="172"/>
      <c r="E35" s="172"/>
      <c r="F35" s="172"/>
      <c r="G35" s="272" t="s">
        <v>67</v>
      </c>
      <c r="H35" s="272">
        <f>SUM(H13:H33)</f>
        <v>544.35438103069919</v>
      </c>
      <c r="I35" s="275"/>
      <c r="J35" s="283"/>
      <c r="K35" s="279"/>
      <c r="L35" s="414"/>
      <c r="M35" s="415"/>
      <c r="N35" s="422"/>
    </row>
    <row r="36" spans="1:14" s="66" customFormat="1">
      <c r="A36" s="137"/>
      <c r="K36" s="135"/>
      <c r="L36" s="423"/>
      <c r="M36" s="424"/>
      <c r="N36" s="425"/>
    </row>
    <row r="37" spans="1:14" s="66" customFormat="1">
      <c r="A37" s="137"/>
      <c r="F37" s="409"/>
      <c r="G37" s="362" t="s">
        <v>78</v>
      </c>
      <c r="H37" s="383">
        <f>B5*1.09^15-H35</f>
        <v>548.3903568755577</v>
      </c>
      <c r="K37" s="135"/>
      <c r="L37" s="423"/>
      <c r="M37" s="424"/>
      <c r="N37" s="394"/>
    </row>
    <row r="38" spans="1:14" s="66" customFormat="1" ht="43.5" customHeight="1">
      <c r="A38" s="51"/>
      <c r="B38" s="121"/>
      <c r="F38" s="164"/>
      <c r="G38" s="64"/>
      <c r="H38" s="115"/>
      <c r="K38" s="135"/>
      <c r="L38" s="422"/>
      <c r="M38" s="422"/>
      <c r="N38" s="426"/>
    </row>
    <row r="39" spans="1:14" s="45" customFormat="1">
      <c r="A39" s="291" t="s">
        <v>141</v>
      </c>
      <c r="B39" s="291" t="s">
        <v>183</v>
      </c>
      <c r="C39" s="293"/>
      <c r="D39" s="293"/>
      <c r="E39" s="298"/>
      <c r="F39" s="298"/>
      <c r="G39" s="299"/>
      <c r="H39" s="300"/>
      <c r="I39" s="294"/>
      <c r="J39" s="294"/>
      <c r="K39" s="294"/>
      <c r="L39" s="419"/>
      <c r="M39" s="419"/>
      <c r="N39" s="419"/>
    </row>
    <row r="40" spans="1:14" s="141" customFormat="1" ht="25.7" customHeight="1">
      <c r="A40" s="145"/>
      <c r="B40" s="144"/>
      <c r="C40" s="93"/>
      <c r="D40" s="143"/>
      <c r="E40" s="51"/>
      <c r="F40" s="51"/>
      <c r="G40" s="64" t="s">
        <v>180</v>
      </c>
      <c r="H40" s="116">
        <f>'Example 1_ step 0'!H34*(1+$G$5)^B27</f>
        <v>531.78546960465644</v>
      </c>
      <c r="K40" s="135"/>
      <c r="L40" s="410"/>
      <c r="M40" s="410"/>
      <c r="N40" s="411" t="s">
        <v>109</v>
      </c>
    </row>
    <row r="41" spans="1:14" s="66" customFormat="1" ht="21" customHeight="1">
      <c r="C41" s="49"/>
      <c r="D41" s="49"/>
      <c r="E41" s="55"/>
      <c r="F41" s="120"/>
      <c r="G41" s="364" t="s">
        <v>181</v>
      </c>
      <c r="H41" s="363">
        <f>H37-H40</f>
        <v>16.604887270901258</v>
      </c>
      <c r="I41" s="114" t="s">
        <v>76</v>
      </c>
      <c r="K41" s="135"/>
      <c r="L41" s="420"/>
      <c r="M41" s="410"/>
      <c r="N41" s="421">
        <f>SUM(N27:N33)</f>
        <v>16.604887270901223</v>
      </c>
    </row>
    <row r="42" spans="1:14" s="66" customFormat="1">
      <c r="F42" s="120"/>
    </row>
    <row r="43" spans="1:14" s="66" customFormat="1">
      <c r="F43" s="120"/>
    </row>
    <row r="44" spans="1:14" s="66" customFormat="1">
      <c r="F44" s="51"/>
      <c r="H44" s="139"/>
    </row>
    <row r="45" spans="1:14" s="45" customFormat="1" ht="15.75" customHeight="1">
      <c r="A45" s="291" t="s">
        <v>152</v>
      </c>
      <c r="B45" s="291" t="s">
        <v>143</v>
      </c>
      <c r="C45" s="293"/>
      <c r="D45" s="293"/>
      <c r="E45" s="298"/>
      <c r="F45" s="298"/>
      <c r="G45" s="299"/>
      <c r="H45" s="300"/>
      <c r="I45" s="294"/>
      <c r="J45" s="294"/>
      <c r="K45" s="294"/>
      <c r="L45" s="294"/>
      <c r="M45" s="294"/>
      <c r="N45" s="294"/>
    </row>
    <row r="46" spans="1:14" s="45" customFormat="1">
      <c r="A46" s="47"/>
      <c r="C46" s="46"/>
      <c r="D46" s="46"/>
      <c r="I46" s="2"/>
    </row>
    <row r="47" spans="1:14" s="45" customFormat="1">
      <c r="A47" s="311" t="s">
        <v>0</v>
      </c>
      <c r="B47" s="56">
        <f>B5</f>
        <v>300</v>
      </c>
      <c r="C47" s="46"/>
      <c r="D47" s="46"/>
      <c r="I47" s="2"/>
    </row>
    <row r="48" spans="1:14" s="45" customFormat="1">
      <c r="A48" s="311" t="s">
        <v>145</v>
      </c>
      <c r="B48" s="56">
        <f>'Example 1_ step 0'!H34</f>
        <v>145.9953412240389</v>
      </c>
      <c r="C48" s="46"/>
      <c r="D48" s="46"/>
      <c r="I48" s="2"/>
    </row>
    <row r="49" spans="1:9" s="45" customFormat="1" ht="28.7" customHeight="1">
      <c r="A49" s="307" t="s">
        <v>146</v>
      </c>
      <c r="B49" s="56">
        <f>H41</f>
        <v>16.604887270901258</v>
      </c>
      <c r="C49" s="46"/>
      <c r="D49" s="46"/>
      <c r="I49" s="2"/>
    </row>
    <row r="50" spans="1:9" s="45" customFormat="1">
      <c r="A50" s="289" t="s">
        <v>147</v>
      </c>
      <c r="B50" s="56">
        <f>B48+B49</f>
        <v>162.60022849494015</v>
      </c>
      <c r="C50" s="46"/>
      <c r="D50" s="46"/>
      <c r="I50" s="2"/>
    </row>
    <row r="51" spans="1:9" s="45" customFormat="1" ht="38.25">
      <c r="A51" s="366" t="s">
        <v>144</v>
      </c>
      <c r="B51" s="388">
        <f>IF((B48+B49)&lt;=B47,B49,B47-B48)</f>
        <v>16.604887270901258</v>
      </c>
      <c r="C51" s="46"/>
      <c r="D51" s="46"/>
      <c r="I51" s="2"/>
    </row>
  </sheetData>
  <mergeCells count="5">
    <mergeCell ref="L9:N9"/>
    <mergeCell ref="J27:J30"/>
    <mergeCell ref="D9:F9"/>
    <mergeCell ref="I26:I27"/>
    <mergeCell ref="J31:J33"/>
  </mergeCells>
  <pageMargins left="0.18" right="0.17" top="0.4" bottom="0.39" header="0.25" footer="0.28999999999999998"/>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workbookViewId="0">
      <selection sqref="A1:I1"/>
    </sheetView>
  </sheetViews>
  <sheetFormatPr defaultRowHeight="12.75"/>
  <cols>
    <col min="1" max="1" width="14.42578125" customWidth="1"/>
    <col min="7" max="7" width="18.42578125" customWidth="1"/>
    <col min="8" max="8" width="16.5703125" bestFit="1" customWidth="1"/>
  </cols>
  <sheetData>
    <row r="1" spans="1:10" ht="48.6" customHeight="1">
      <c r="A1" s="295" t="s">
        <v>188</v>
      </c>
      <c r="B1" s="508" t="s">
        <v>189</v>
      </c>
      <c r="C1" s="508"/>
      <c r="D1" s="508"/>
      <c r="E1" s="508"/>
      <c r="F1" s="508"/>
      <c r="G1" s="508"/>
      <c r="H1" s="508"/>
      <c r="I1" s="508"/>
    </row>
    <row r="2" spans="1:10">
      <c r="A2" s="431"/>
      <c r="B2" s="433"/>
      <c r="C2" s="433"/>
      <c r="D2" s="433"/>
      <c r="E2" s="433"/>
      <c r="F2" s="433"/>
      <c r="G2" s="433"/>
      <c r="H2" s="433"/>
      <c r="I2" s="433"/>
    </row>
    <row r="3" spans="1:10" s="1" customFormat="1" ht="28.7" customHeight="1">
      <c r="A3" s="291" t="s">
        <v>149</v>
      </c>
      <c r="B3" s="522" t="s">
        <v>195</v>
      </c>
      <c r="C3" s="522"/>
      <c r="D3" s="522"/>
      <c r="E3" s="522"/>
      <c r="F3" s="522"/>
      <c r="G3" s="522"/>
      <c r="H3" s="522"/>
      <c r="I3" s="522"/>
    </row>
    <row r="4" spans="1:10" s="1" customFormat="1">
      <c r="A4" s="76"/>
      <c r="C4" s="43"/>
      <c r="D4" s="43"/>
    </row>
    <row r="5" spans="1:10" s="1" customFormat="1">
      <c r="A5" s="75" t="s">
        <v>75</v>
      </c>
      <c r="B5" s="73"/>
      <c r="C5" s="74"/>
      <c r="D5" s="74"/>
      <c r="E5" s="73"/>
      <c r="F5" s="73"/>
      <c r="G5" s="73"/>
      <c r="H5" s="73"/>
    </row>
    <row r="6" spans="1:10" s="1" customFormat="1">
      <c r="A6" s="72" t="s">
        <v>63</v>
      </c>
      <c r="B6" s="71">
        <v>100</v>
      </c>
      <c r="C6" s="43"/>
      <c r="D6" s="43"/>
      <c r="G6" s="1" t="s">
        <v>62</v>
      </c>
      <c r="H6" s="41">
        <v>7.0000000000000007E-2</v>
      </c>
    </row>
    <row r="7" spans="1:10" s="45" customFormat="1">
      <c r="A7" s="70" t="s">
        <v>61</v>
      </c>
      <c r="B7" s="69">
        <v>0.02</v>
      </c>
      <c r="C7" s="46"/>
      <c r="D7" s="46"/>
      <c r="G7" s="66"/>
      <c r="H7" s="112"/>
    </row>
    <row r="8" spans="1:10" s="45" customFormat="1" ht="15" customHeight="1">
      <c r="A8" s="68" t="s">
        <v>60</v>
      </c>
      <c r="B8" s="67" t="s">
        <v>59</v>
      </c>
      <c r="C8" s="46"/>
      <c r="D8" s="46"/>
    </row>
    <row r="9" spans="1:10" s="45" customFormat="1" ht="15" customHeight="1">
      <c r="A9" s="65"/>
      <c r="B9" s="64"/>
      <c r="C9" s="46"/>
      <c r="D9" s="46"/>
    </row>
    <row r="10" spans="1:10" s="57" customFormat="1" ht="43.5" customHeight="1">
      <c r="A10" s="505" t="s">
        <v>194</v>
      </c>
      <c r="B10" s="505"/>
      <c r="C10" s="505"/>
      <c r="D10" s="505"/>
      <c r="E10" s="505"/>
      <c r="F10" s="505"/>
      <c r="G10" s="505"/>
      <c r="H10" s="505"/>
      <c r="I10" s="111"/>
      <c r="J10" s="111"/>
    </row>
    <row r="12" spans="1:10" ht="33.75">
      <c r="A12" s="223" t="s">
        <v>57</v>
      </c>
      <c r="B12" s="224" t="s">
        <v>56</v>
      </c>
      <c r="C12" s="225" t="s">
        <v>55</v>
      </c>
      <c r="D12" s="225" t="s">
        <v>54</v>
      </c>
      <c r="E12" s="224" t="s">
        <v>53</v>
      </c>
      <c r="F12" s="224" t="s">
        <v>52</v>
      </c>
      <c r="G12" s="224" t="s">
        <v>111</v>
      </c>
      <c r="H12" s="224" t="s">
        <v>50</v>
      </c>
    </row>
    <row r="13" spans="1:10">
      <c r="A13" s="228"/>
      <c r="B13" s="229"/>
      <c r="C13" s="230"/>
      <c r="D13" s="230"/>
      <c r="E13" s="229"/>
      <c r="F13" s="229"/>
      <c r="G13" s="229"/>
      <c r="H13" s="229"/>
    </row>
    <row r="14" spans="1:10">
      <c r="A14" s="233" t="s">
        <v>116</v>
      </c>
      <c r="B14" s="229"/>
      <c r="C14" s="230"/>
      <c r="D14" s="230"/>
      <c r="E14" s="229"/>
      <c r="F14" s="229"/>
      <c r="G14" s="234"/>
      <c r="H14" s="229"/>
    </row>
    <row r="15" spans="1:10">
      <c r="A15" s="233" t="s">
        <v>117</v>
      </c>
      <c r="B15" s="236">
        <v>1</v>
      </c>
      <c r="C15" s="236">
        <v>100</v>
      </c>
      <c r="D15" s="236"/>
      <c r="E15" s="238">
        <f>C15*'Example 2_case 7'!$B$6</f>
        <v>2</v>
      </c>
      <c r="F15" s="238">
        <f t="shared" ref="F15:F32" si="0">D15+E15</f>
        <v>2</v>
      </c>
      <c r="G15" s="239">
        <f t="shared" ref="G15:G32" si="1">1.07^B15</f>
        <v>1.07</v>
      </c>
      <c r="H15" s="238">
        <f t="shared" ref="H15:H32" si="2">F15/G15</f>
        <v>1.8691588785046729</v>
      </c>
    </row>
    <row r="16" spans="1:10">
      <c r="A16" s="233" t="s">
        <v>118</v>
      </c>
      <c r="B16" s="236">
        <v>2</v>
      </c>
      <c r="C16" s="236">
        <v>100</v>
      </c>
      <c r="D16" s="236"/>
      <c r="E16" s="238">
        <f>C16*'Example 2_case 7'!$B$6</f>
        <v>2</v>
      </c>
      <c r="F16" s="238">
        <f t="shared" si="0"/>
        <v>2</v>
      </c>
      <c r="G16" s="239">
        <f t="shared" si="1"/>
        <v>1.1449</v>
      </c>
      <c r="H16" s="238">
        <f t="shared" si="2"/>
        <v>1.7468774565464231</v>
      </c>
    </row>
    <row r="17" spans="1:8">
      <c r="A17" s="233" t="s">
        <v>119</v>
      </c>
      <c r="B17" s="236">
        <v>3</v>
      </c>
      <c r="C17" s="236">
        <v>100</v>
      </c>
      <c r="D17" s="236"/>
      <c r="E17" s="238">
        <f>C17*'Example 2_case 7'!$B$6</f>
        <v>2</v>
      </c>
      <c r="F17" s="238">
        <f t="shared" si="0"/>
        <v>2</v>
      </c>
      <c r="G17" s="239">
        <f t="shared" si="1"/>
        <v>1.2250430000000001</v>
      </c>
      <c r="H17" s="238">
        <f t="shared" si="2"/>
        <v>1.6325957537817037</v>
      </c>
    </row>
    <row r="18" spans="1:8">
      <c r="A18" s="233" t="s">
        <v>120</v>
      </c>
      <c r="B18" s="236">
        <v>4</v>
      </c>
      <c r="C18" s="236">
        <v>100</v>
      </c>
      <c r="D18" s="236"/>
      <c r="E18" s="238">
        <f>C18*'Example 2_case 7'!$B$6</f>
        <v>2</v>
      </c>
      <c r="F18" s="238">
        <f t="shared" si="0"/>
        <v>2</v>
      </c>
      <c r="G18" s="239">
        <f t="shared" si="1"/>
        <v>1.31079601</v>
      </c>
      <c r="H18" s="238">
        <f t="shared" si="2"/>
        <v>1.5257904240950504</v>
      </c>
    </row>
    <row r="19" spans="1:8">
      <c r="A19" s="233" t="s">
        <v>121</v>
      </c>
      <c r="B19" s="236">
        <v>5</v>
      </c>
      <c r="C19" s="236">
        <v>100</v>
      </c>
      <c r="D19" s="236"/>
      <c r="E19" s="238">
        <f>C19*'Example 2_case 7'!$B$6</f>
        <v>2</v>
      </c>
      <c r="F19" s="238">
        <f t="shared" si="0"/>
        <v>2</v>
      </c>
      <c r="G19" s="239">
        <f t="shared" si="1"/>
        <v>1.4025517307000002</v>
      </c>
      <c r="H19" s="238">
        <f t="shared" si="2"/>
        <v>1.4259723589673368</v>
      </c>
    </row>
    <row r="20" spans="1:8">
      <c r="A20" s="233" t="s">
        <v>122</v>
      </c>
      <c r="B20" s="241">
        <v>6</v>
      </c>
      <c r="C20" s="241">
        <v>100</v>
      </c>
      <c r="D20" s="243">
        <f t="shared" ref="D20:D32" si="3">100/13</f>
        <v>7.6923076923076925</v>
      </c>
      <c r="E20" s="243">
        <f>C20*'Example 2_case 7'!$B$6</f>
        <v>2</v>
      </c>
      <c r="F20" s="243">
        <f t="shared" si="0"/>
        <v>9.6923076923076934</v>
      </c>
      <c r="G20" s="244">
        <f t="shared" si="1"/>
        <v>1.5007303518490001</v>
      </c>
      <c r="H20" s="243">
        <f t="shared" si="2"/>
        <v>6.4583938616061989</v>
      </c>
    </row>
    <row r="21" spans="1:8">
      <c r="A21" s="233" t="s">
        <v>123</v>
      </c>
      <c r="B21" s="241">
        <v>7</v>
      </c>
      <c r="C21" s="241">
        <f t="shared" ref="C21:C32" si="4">C20-D20</f>
        <v>92.307692307692307</v>
      </c>
      <c r="D21" s="238">
        <f t="shared" si="3"/>
        <v>7.6923076923076925</v>
      </c>
      <c r="E21" s="243">
        <f>C21*'Example 2_case 7'!$B$6</f>
        <v>1.8461538461538463</v>
      </c>
      <c r="F21" s="243">
        <f t="shared" si="0"/>
        <v>9.5384615384615383</v>
      </c>
      <c r="G21" s="239">
        <f t="shared" si="1"/>
        <v>1.6057814764784302</v>
      </c>
      <c r="H21" s="243">
        <f t="shared" si="2"/>
        <v>5.9400744610530225</v>
      </c>
    </row>
    <row r="22" spans="1:8">
      <c r="A22" s="233" t="s">
        <v>124</v>
      </c>
      <c r="B22" s="236">
        <v>8</v>
      </c>
      <c r="C22" s="241">
        <f t="shared" si="4"/>
        <v>84.615384615384613</v>
      </c>
      <c r="D22" s="238">
        <f t="shared" si="3"/>
        <v>7.6923076923076925</v>
      </c>
      <c r="E22" s="238">
        <f>C22*'Example 2_case 7'!$B$6</f>
        <v>1.6923076923076923</v>
      </c>
      <c r="F22" s="238">
        <f t="shared" si="0"/>
        <v>9.384615384615385</v>
      </c>
      <c r="G22" s="239">
        <f t="shared" si="1"/>
        <v>1.7181861798319202</v>
      </c>
      <c r="H22" s="238">
        <f t="shared" si="2"/>
        <v>5.4619315966872843</v>
      </c>
    </row>
    <row r="23" spans="1:8">
      <c r="A23" s="233" t="s">
        <v>125</v>
      </c>
      <c r="B23" s="236">
        <v>9</v>
      </c>
      <c r="C23" s="241">
        <f t="shared" si="4"/>
        <v>76.92307692307692</v>
      </c>
      <c r="D23" s="238">
        <f t="shared" si="3"/>
        <v>7.6923076923076925</v>
      </c>
      <c r="E23" s="238">
        <f>C23*'Example 2_case 7'!$B$6</f>
        <v>1.5384615384615383</v>
      </c>
      <c r="F23" s="238">
        <f t="shared" si="0"/>
        <v>9.2307692307692299</v>
      </c>
      <c r="G23" s="239">
        <f t="shared" si="1"/>
        <v>1.8384592124201549</v>
      </c>
      <c r="H23" s="238">
        <f t="shared" si="2"/>
        <v>5.0209268546229042</v>
      </c>
    </row>
    <row r="24" spans="1:8">
      <c r="A24" s="233" t="s">
        <v>126</v>
      </c>
      <c r="B24" s="236">
        <v>10</v>
      </c>
      <c r="C24" s="241">
        <f t="shared" si="4"/>
        <v>69.230769230769226</v>
      </c>
      <c r="D24" s="238">
        <f t="shared" si="3"/>
        <v>7.6923076923076925</v>
      </c>
      <c r="E24" s="238">
        <f>C24*'Example 2_case 7'!$B$6</f>
        <v>1.3846153846153846</v>
      </c>
      <c r="F24" s="238">
        <f t="shared" si="0"/>
        <v>9.0769230769230766</v>
      </c>
      <c r="G24" s="239">
        <f t="shared" si="1"/>
        <v>1.9671513572895656</v>
      </c>
      <c r="H24" s="238">
        <f t="shared" si="2"/>
        <v>4.614247420915131</v>
      </c>
    </row>
    <row r="25" spans="1:8">
      <c r="A25" s="233" t="s">
        <v>127</v>
      </c>
      <c r="B25" s="236">
        <v>11</v>
      </c>
      <c r="C25" s="241">
        <f t="shared" si="4"/>
        <v>61.538461538461533</v>
      </c>
      <c r="D25" s="238">
        <f t="shared" si="3"/>
        <v>7.6923076923076925</v>
      </c>
      <c r="E25" s="238">
        <f>C25*'Example 2_case 7'!$B$6</f>
        <v>1.2307692307692306</v>
      </c>
      <c r="F25" s="238">
        <f t="shared" si="0"/>
        <v>8.9230769230769234</v>
      </c>
      <c r="G25" s="239">
        <f t="shared" si="1"/>
        <v>2.1048519522998355</v>
      </c>
      <c r="H25" s="238">
        <f t="shared" si="2"/>
        <v>4.239289567766158</v>
      </c>
    </row>
    <row r="26" spans="1:8">
      <c r="A26" s="233" t="s">
        <v>128</v>
      </c>
      <c r="B26" s="236">
        <v>12</v>
      </c>
      <c r="C26" s="241">
        <f t="shared" si="4"/>
        <v>53.84615384615384</v>
      </c>
      <c r="D26" s="238">
        <f t="shared" si="3"/>
        <v>7.6923076923076925</v>
      </c>
      <c r="E26" s="238">
        <f>C26*'Example 2_case 7'!$B$6</f>
        <v>1.0769230769230769</v>
      </c>
      <c r="F26" s="238">
        <f t="shared" si="0"/>
        <v>8.7692307692307701</v>
      </c>
      <c r="G26" s="239">
        <f t="shared" si="1"/>
        <v>2.2521915889608235</v>
      </c>
      <c r="H26" s="238">
        <f t="shared" si="2"/>
        <v>3.8936433348802946</v>
      </c>
    </row>
    <row r="27" spans="1:8">
      <c r="A27" s="233" t="s">
        <v>129</v>
      </c>
      <c r="B27" s="236">
        <v>13</v>
      </c>
      <c r="C27" s="241">
        <f t="shared" si="4"/>
        <v>46.153846153846146</v>
      </c>
      <c r="D27" s="238">
        <f t="shared" si="3"/>
        <v>7.6923076923076925</v>
      </c>
      <c r="E27" s="238">
        <f>C27*'Example 2_case 7'!$B$6</f>
        <v>0.92307692307692291</v>
      </c>
      <c r="F27" s="238">
        <f t="shared" si="0"/>
        <v>8.615384615384615</v>
      </c>
      <c r="G27" s="239">
        <f t="shared" si="1"/>
        <v>2.4098450001880813</v>
      </c>
      <c r="H27" s="238">
        <f t="shared" si="2"/>
        <v>3.5750783202704777</v>
      </c>
    </row>
    <row r="28" spans="1:8">
      <c r="A28" s="233" t="s">
        <v>130</v>
      </c>
      <c r="B28" s="236">
        <v>14</v>
      </c>
      <c r="C28" s="241">
        <f t="shared" si="4"/>
        <v>38.461538461538453</v>
      </c>
      <c r="D28" s="238">
        <f t="shared" si="3"/>
        <v>7.6923076923076925</v>
      </c>
      <c r="E28" s="238">
        <f>C28*'Example 2_case 7'!$B$6</f>
        <v>0.76923076923076905</v>
      </c>
      <c r="F28" s="238">
        <f t="shared" si="0"/>
        <v>8.4615384615384617</v>
      </c>
      <c r="G28" s="239">
        <f t="shared" si="1"/>
        <v>2.5785341502012469</v>
      </c>
      <c r="H28" s="238">
        <f t="shared" si="2"/>
        <v>3.2815305009158262</v>
      </c>
    </row>
    <row r="29" spans="1:8">
      <c r="A29" s="233" t="s">
        <v>131</v>
      </c>
      <c r="B29" s="236">
        <v>15</v>
      </c>
      <c r="C29" s="241">
        <f t="shared" si="4"/>
        <v>30.769230769230759</v>
      </c>
      <c r="D29" s="238">
        <f t="shared" si="3"/>
        <v>7.6923076923076925</v>
      </c>
      <c r="E29" s="238">
        <f>C29*'Example 2_case 7'!$B$6</f>
        <v>0.6153846153846152</v>
      </c>
      <c r="F29" s="238">
        <f t="shared" si="0"/>
        <v>8.3076923076923084</v>
      </c>
      <c r="G29" s="239">
        <f t="shared" si="1"/>
        <v>2.7590315407153345</v>
      </c>
      <c r="H29" s="238">
        <f t="shared" si="2"/>
        <v>3.0110900093365269</v>
      </c>
    </row>
    <row r="30" spans="1:8">
      <c r="A30" s="233" t="s">
        <v>132</v>
      </c>
      <c r="B30" s="236">
        <v>16</v>
      </c>
      <c r="C30" s="241">
        <f t="shared" si="4"/>
        <v>23.076923076923066</v>
      </c>
      <c r="D30" s="238">
        <f t="shared" si="3"/>
        <v>7.6923076923076925</v>
      </c>
      <c r="E30" s="238">
        <f>C30*'Example 2_case 7'!$B$6</f>
        <v>0.46153846153846134</v>
      </c>
      <c r="F30" s="238">
        <f t="shared" si="0"/>
        <v>8.1538461538461533</v>
      </c>
      <c r="G30" s="239">
        <f t="shared" si="1"/>
        <v>2.9521637485654075</v>
      </c>
      <c r="H30" s="238">
        <f t="shared" si="2"/>
        <v>2.7619897974184133</v>
      </c>
    </row>
    <row r="31" spans="1:8">
      <c r="A31" s="233" t="s">
        <v>133</v>
      </c>
      <c r="B31" s="236">
        <v>17</v>
      </c>
      <c r="C31" s="241">
        <f t="shared" si="4"/>
        <v>15.384615384615373</v>
      </c>
      <c r="D31" s="238">
        <f t="shared" si="3"/>
        <v>7.6923076923076925</v>
      </c>
      <c r="E31" s="238">
        <f>C31*'Example 2_case 7'!$B$6</f>
        <v>0.30769230769230743</v>
      </c>
      <c r="F31" s="238">
        <f t="shared" si="0"/>
        <v>8</v>
      </c>
      <c r="G31" s="239">
        <f t="shared" si="1"/>
        <v>3.1588152109649861</v>
      </c>
      <c r="H31" s="238">
        <f t="shared" si="2"/>
        <v>2.5325951237128814</v>
      </c>
    </row>
    <row r="32" spans="1:8">
      <c r="A32" s="233" t="s">
        <v>74</v>
      </c>
      <c r="B32" s="236">
        <v>18</v>
      </c>
      <c r="C32" s="241">
        <f t="shared" si="4"/>
        <v>7.6923076923076801</v>
      </c>
      <c r="D32" s="238">
        <f t="shared" si="3"/>
        <v>7.6923076923076925</v>
      </c>
      <c r="E32" s="238">
        <f>C32*'Example 2_case 7'!$B$6</f>
        <v>0.1538461538461536</v>
      </c>
      <c r="F32" s="238">
        <f t="shared" si="0"/>
        <v>7.8461538461538458</v>
      </c>
      <c r="G32" s="239">
        <f t="shared" si="1"/>
        <v>3.3799322757325352</v>
      </c>
      <c r="H32" s="238">
        <f t="shared" si="2"/>
        <v>2.3213938049848477</v>
      </c>
    </row>
    <row r="33" spans="1:8">
      <c r="A33" s="196"/>
      <c r="B33" s="196"/>
      <c r="C33" s="215"/>
      <c r="D33" s="237"/>
      <c r="E33" s="196"/>
      <c r="F33" s="196"/>
      <c r="G33" s="196"/>
      <c r="H33" s="196"/>
    </row>
    <row r="34" spans="1:8">
      <c r="A34" s="196"/>
      <c r="B34" s="196"/>
      <c r="C34" s="196"/>
      <c r="G34" s="435" t="s">
        <v>109</v>
      </c>
      <c r="H34" s="436">
        <f>SUM(H15:H32)</f>
        <v>61.312579526065157</v>
      </c>
    </row>
    <row r="35" spans="1:8">
      <c r="A35" s="196"/>
      <c r="B35" s="196"/>
      <c r="C35" s="196"/>
      <c r="G35" s="435" t="s">
        <v>66</v>
      </c>
      <c r="H35" s="436">
        <f>B6-H34</f>
        <v>38.687420473934843</v>
      </c>
    </row>
    <row r="36" spans="1:8">
      <c r="A36" s="196"/>
      <c r="B36" s="196"/>
      <c r="C36" s="196"/>
    </row>
    <row r="37" spans="1:8">
      <c r="A37" s="196"/>
      <c r="B37" s="196"/>
      <c r="C37" s="196"/>
      <c r="G37" s="437" t="s">
        <v>184</v>
      </c>
      <c r="H37" s="438">
        <f>H35/B6</f>
        <v>0.38687420473934842</v>
      </c>
    </row>
  </sheetData>
  <mergeCells count="3">
    <mergeCell ref="A10:H10"/>
    <mergeCell ref="B1:I1"/>
    <mergeCell ref="B3:I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B82"/>
  <sheetViews>
    <sheetView zoomScaleNormal="100" workbookViewId="0">
      <selection sqref="A1:N1"/>
    </sheetView>
  </sheetViews>
  <sheetFormatPr defaultColWidth="9.140625" defaultRowHeight="12.75"/>
  <cols>
    <col min="1" max="1" width="23.42578125" style="226" customWidth="1"/>
    <col min="2" max="2" width="10.85546875" style="196" customWidth="1"/>
    <col min="3" max="3" width="11.85546875" style="195" customWidth="1"/>
    <col min="4" max="4" width="8.85546875" style="195" customWidth="1"/>
    <col min="5" max="5" width="7.85546875" style="196" customWidth="1"/>
    <col min="6" max="6" width="20.42578125" style="196" customWidth="1"/>
    <col min="7" max="7" width="13.140625" style="196" customWidth="1"/>
    <col min="8" max="8" width="15" style="196" customWidth="1"/>
    <col min="9" max="9" width="10.5703125" style="196" customWidth="1"/>
    <col min="10" max="10" width="1.85546875" style="196" customWidth="1"/>
    <col min="11" max="12" width="10.140625" style="197" customWidth="1"/>
    <col min="13" max="13" width="12.42578125" style="197" customWidth="1"/>
    <col min="14" max="16" width="9.140625" style="196"/>
    <col min="17" max="17" width="10.5703125" style="196" customWidth="1"/>
    <col min="18" max="27" width="9.140625" style="196"/>
    <col min="28" max="28" width="9.5703125" style="196" bestFit="1" customWidth="1"/>
    <col min="29" max="16384" width="9.140625" style="196"/>
  </cols>
  <sheetData>
    <row r="1" spans="1:28" s="427" customFormat="1" ht="43.35" customHeight="1">
      <c r="A1" s="526" t="s">
        <v>190</v>
      </c>
      <c r="B1" s="526"/>
      <c r="C1" s="526"/>
      <c r="D1" s="526"/>
      <c r="E1" s="526"/>
      <c r="F1" s="526"/>
      <c r="G1" s="526"/>
      <c r="H1" s="526"/>
      <c r="I1" s="526"/>
      <c r="J1" s="526"/>
      <c r="K1" s="526"/>
      <c r="L1" s="526"/>
      <c r="M1" s="526"/>
      <c r="N1" s="526"/>
    </row>
    <row r="2" spans="1:28" s="1" customFormat="1">
      <c r="A2" s="291" t="s">
        <v>140</v>
      </c>
      <c r="B2" s="292" t="s">
        <v>151</v>
      </c>
      <c r="C2" s="293"/>
      <c r="D2" s="293"/>
      <c r="E2" s="294"/>
      <c r="F2" s="294"/>
      <c r="G2" s="294"/>
      <c r="H2" s="294"/>
      <c r="I2" s="294"/>
      <c r="J2" s="294"/>
      <c r="K2" s="294"/>
      <c r="L2" s="294"/>
      <c r="M2" s="294"/>
      <c r="N2" s="294"/>
    </row>
    <row r="3" spans="1:28">
      <c r="A3" s="198"/>
    </row>
    <row r="4" spans="1:28">
      <c r="A4" s="199" t="s">
        <v>64</v>
      </c>
      <c r="B4" s="200"/>
      <c r="C4" s="201"/>
      <c r="D4" s="201"/>
      <c r="E4" s="200"/>
      <c r="F4" s="200"/>
      <c r="G4" s="200"/>
      <c r="H4" s="200"/>
      <c r="I4" s="202"/>
      <c r="K4" s="203"/>
      <c r="L4" s="203"/>
      <c r="M4" s="203"/>
    </row>
    <row r="5" spans="1:28">
      <c r="A5" s="204" t="s">
        <v>63</v>
      </c>
      <c r="B5" s="205">
        <v>100</v>
      </c>
      <c r="F5" s="196" t="s">
        <v>62</v>
      </c>
      <c r="G5" s="206">
        <v>7.0000000000000007E-2</v>
      </c>
      <c r="L5" s="206"/>
      <c r="M5" s="206"/>
      <c r="AA5" s="196" t="s">
        <v>95</v>
      </c>
      <c r="AB5" s="196">
        <v>100</v>
      </c>
    </row>
    <row r="6" spans="1:28" ht="12.75" customHeight="1">
      <c r="A6" s="204" t="s">
        <v>61</v>
      </c>
      <c r="B6" s="207">
        <v>0.02</v>
      </c>
      <c r="F6" s="196" t="s">
        <v>93</v>
      </c>
      <c r="G6" s="206">
        <v>7.0000000000000007E-2</v>
      </c>
      <c r="L6" s="206"/>
      <c r="M6" s="206"/>
    </row>
    <row r="7" spans="1:28" ht="15" customHeight="1">
      <c r="A7" s="208" t="s">
        <v>60</v>
      </c>
      <c r="B7" s="209" t="s">
        <v>59</v>
      </c>
      <c r="F7" s="210" t="s">
        <v>92</v>
      </c>
      <c r="G7" s="211">
        <f>B22</f>
        <v>10</v>
      </c>
      <c r="L7" s="211"/>
      <c r="M7" s="211"/>
      <c r="AA7" s="196" t="s">
        <v>97</v>
      </c>
      <c r="AB7" s="195">
        <f>M59</f>
        <v>53.081538461538436</v>
      </c>
    </row>
    <row r="8" spans="1:28" ht="15" customHeight="1">
      <c r="A8" s="212"/>
      <c r="B8" s="213"/>
      <c r="AB8" s="195" t="e">
        <f>H64-#REF!</f>
        <v>#REF!</v>
      </c>
    </row>
    <row r="9" spans="1:28" s="215" customFormat="1">
      <c r="A9" s="214"/>
      <c r="C9" s="216"/>
      <c r="D9" s="523" t="s">
        <v>58</v>
      </c>
      <c r="E9" s="523"/>
      <c r="F9" s="523"/>
      <c r="J9" s="217"/>
      <c r="K9" s="524" t="s">
        <v>112</v>
      </c>
      <c r="L9" s="524"/>
      <c r="M9" s="524"/>
      <c r="AA9" s="196" t="s">
        <v>96</v>
      </c>
      <c r="AB9" s="195">
        <f>100 - SUM(D18:D27)</f>
        <v>23.07692307692308</v>
      </c>
    </row>
    <row r="10" spans="1:28" s="221" customFormat="1" ht="51.75" customHeight="1">
      <c r="A10" s="218" t="s">
        <v>57</v>
      </c>
      <c r="B10" s="219" t="s">
        <v>56</v>
      </c>
      <c r="C10" s="220" t="s">
        <v>55</v>
      </c>
      <c r="D10" s="220" t="s">
        <v>54</v>
      </c>
      <c r="E10" s="219" t="s">
        <v>53</v>
      </c>
      <c r="F10" s="219" t="s">
        <v>52</v>
      </c>
      <c r="G10" s="219" t="s">
        <v>134</v>
      </c>
      <c r="H10" s="219" t="s">
        <v>50</v>
      </c>
      <c r="J10" s="222"/>
      <c r="K10" s="450" t="s">
        <v>114</v>
      </c>
      <c r="L10" s="450" t="s">
        <v>113</v>
      </c>
      <c r="M10" s="450" t="s">
        <v>108</v>
      </c>
      <c r="AB10" s="216">
        <f>AB7-(AB7+AB9-100)</f>
        <v>76.923076923076906</v>
      </c>
    </row>
    <row r="11" spans="1:28">
      <c r="J11" s="227"/>
      <c r="K11" s="253"/>
      <c r="L11" s="253"/>
      <c r="M11" s="253"/>
    </row>
    <row r="12" spans="1:28">
      <c r="A12" s="231" t="s">
        <v>116</v>
      </c>
      <c r="G12" s="232"/>
      <c r="J12" s="227"/>
      <c r="K12" s="253"/>
      <c r="L12" s="253"/>
      <c r="M12" s="253"/>
    </row>
    <row r="13" spans="1:28">
      <c r="A13" s="231" t="s">
        <v>117</v>
      </c>
      <c r="B13" s="235">
        <v>1</v>
      </c>
      <c r="C13" s="238">
        <v>100</v>
      </c>
      <c r="D13" s="238"/>
      <c r="E13" s="237">
        <f>C13*$B$6</f>
        <v>2</v>
      </c>
      <c r="F13" s="237">
        <f t="shared" ref="F13:F30" si="0">D13+E13</f>
        <v>2</v>
      </c>
      <c r="G13" s="237">
        <f>1.07^(B13-48)</f>
        <v>4.1587465040241613E-2</v>
      </c>
      <c r="H13" s="237">
        <f t="shared" ref="H13:H59" si="1">F13/G13</f>
        <v>48.091414037011489</v>
      </c>
      <c r="I13" s="237"/>
      <c r="J13" s="263"/>
      <c r="K13" s="254"/>
      <c r="L13" s="254"/>
      <c r="M13" s="254"/>
      <c r="N13" s="237"/>
      <c r="O13" s="237"/>
    </row>
    <row r="14" spans="1:28">
      <c r="A14" s="231" t="s">
        <v>118</v>
      </c>
      <c r="B14" s="235">
        <v>2</v>
      </c>
      <c r="C14" s="238">
        <v>100</v>
      </c>
      <c r="D14" s="238"/>
      <c r="E14" s="237">
        <f>C14*$B$6</f>
        <v>2</v>
      </c>
      <c r="F14" s="237">
        <f t="shared" si="0"/>
        <v>2</v>
      </c>
      <c r="G14" s="237">
        <f t="shared" ref="G14:G60" si="2">1.07^(B14-48)</f>
        <v>4.4498587593058525E-2</v>
      </c>
      <c r="H14" s="237">
        <f t="shared" si="1"/>
        <v>44.945246763562139</v>
      </c>
      <c r="I14" s="237"/>
      <c r="J14" s="263"/>
      <c r="K14" s="254"/>
      <c r="L14" s="254"/>
      <c r="M14" s="254"/>
      <c r="N14" s="237"/>
      <c r="O14" s="237"/>
    </row>
    <row r="15" spans="1:28">
      <c r="A15" s="231" t="s">
        <v>119</v>
      </c>
      <c r="B15" s="235">
        <v>3</v>
      </c>
      <c r="C15" s="238">
        <v>100</v>
      </c>
      <c r="D15" s="238"/>
      <c r="E15" s="237">
        <f>C15*$B$6</f>
        <v>2</v>
      </c>
      <c r="F15" s="237">
        <f t="shared" si="0"/>
        <v>2</v>
      </c>
      <c r="G15" s="237">
        <f t="shared" si="2"/>
        <v>4.761348872457262E-2</v>
      </c>
      <c r="H15" s="237">
        <f t="shared" si="1"/>
        <v>42.004903517347792</v>
      </c>
      <c r="I15" s="237"/>
      <c r="J15" s="263"/>
      <c r="K15" s="254"/>
      <c r="L15" s="254"/>
      <c r="M15" s="254"/>
      <c r="N15" s="237"/>
      <c r="O15" s="237"/>
    </row>
    <row r="16" spans="1:28">
      <c r="A16" s="231" t="s">
        <v>120</v>
      </c>
      <c r="B16" s="235">
        <v>4</v>
      </c>
      <c r="C16" s="238">
        <v>100</v>
      </c>
      <c r="D16" s="238"/>
      <c r="E16" s="237">
        <f t="shared" ref="E16:E27" si="3">C16*$B$6</f>
        <v>2</v>
      </c>
      <c r="F16" s="237">
        <f t="shared" si="0"/>
        <v>2</v>
      </c>
      <c r="G16" s="237">
        <f t="shared" si="2"/>
        <v>5.0946432935292711E-2</v>
      </c>
      <c r="H16" s="237">
        <f t="shared" si="1"/>
        <v>39.25691917509139</v>
      </c>
      <c r="I16" s="237"/>
      <c r="J16" s="263"/>
      <c r="K16" s="254"/>
      <c r="L16" s="254"/>
      <c r="M16" s="254"/>
      <c r="N16" s="237"/>
      <c r="O16" s="237"/>
    </row>
    <row r="17" spans="1:15">
      <c r="A17" s="231" t="s">
        <v>121</v>
      </c>
      <c r="B17" s="235">
        <v>5</v>
      </c>
      <c r="C17" s="238">
        <v>100</v>
      </c>
      <c r="D17" s="238"/>
      <c r="E17" s="237">
        <f t="shared" si="3"/>
        <v>2</v>
      </c>
      <c r="F17" s="237">
        <f t="shared" si="0"/>
        <v>2</v>
      </c>
      <c r="G17" s="237">
        <f t="shared" si="2"/>
        <v>5.4512683240763193E-2</v>
      </c>
      <c r="H17" s="237">
        <f t="shared" si="1"/>
        <v>36.688709509431213</v>
      </c>
      <c r="I17" s="237"/>
      <c r="J17" s="263"/>
      <c r="K17" s="254"/>
      <c r="L17" s="254"/>
      <c r="M17" s="254"/>
      <c r="N17" s="237"/>
      <c r="O17" s="237"/>
    </row>
    <row r="18" spans="1:15" ht="12.75" customHeight="1">
      <c r="A18" s="231" t="s">
        <v>122</v>
      </c>
      <c r="B18" s="240">
        <v>6</v>
      </c>
      <c r="C18" s="243">
        <v>100</v>
      </c>
      <c r="D18" s="243">
        <f>100/13</f>
        <v>7.6923076923076925</v>
      </c>
      <c r="E18" s="237">
        <f t="shared" si="3"/>
        <v>2</v>
      </c>
      <c r="F18" s="242">
        <f t="shared" si="0"/>
        <v>9.6923076923076934</v>
      </c>
      <c r="G18" s="237">
        <f t="shared" si="2"/>
        <v>5.8328571067616623E-2</v>
      </c>
      <c r="H18" s="242">
        <f t="shared" si="1"/>
        <v>166.16741186873949</v>
      </c>
      <c r="I18" s="525"/>
      <c r="J18" s="264"/>
      <c r="K18" s="254"/>
      <c r="L18" s="254"/>
      <c r="M18" s="254"/>
      <c r="N18" s="237"/>
      <c r="O18" s="237"/>
    </row>
    <row r="19" spans="1:15">
      <c r="A19" s="231" t="s">
        <v>123</v>
      </c>
      <c r="B19" s="240">
        <v>7</v>
      </c>
      <c r="C19" s="243">
        <f>C18-D18</f>
        <v>92.307692307692307</v>
      </c>
      <c r="D19" s="238">
        <f t="shared" ref="D19:D27" si="4">100/13</f>
        <v>7.6923076923076925</v>
      </c>
      <c r="E19" s="237">
        <f t="shared" si="3"/>
        <v>1.8461538461538463</v>
      </c>
      <c r="F19" s="242">
        <f t="shared" si="0"/>
        <v>9.5384615384615383</v>
      </c>
      <c r="G19" s="237">
        <f t="shared" si="2"/>
        <v>6.2411571042349782E-2</v>
      </c>
      <c r="H19" s="242">
        <f t="shared" si="1"/>
        <v>152.83162046969068</v>
      </c>
      <c r="I19" s="525"/>
      <c r="J19" s="264"/>
      <c r="K19" s="254"/>
      <c r="L19" s="254"/>
      <c r="M19" s="254"/>
      <c r="N19" s="237"/>
      <c r="O19" s="237"/>
    </row>
    <row r="20" spans="1:15">
      <c r="A20" s="231" t="s">
        <v>124</v>
      </c>
      <c r="B20" s="240">
        <v>8</v>
      </c>
      <c r="C20" s="243">
        <f t="shared" ref="C20:C59" si="5">C19-D19</f>
        <v>84.615384615384613</v>
      </c>
      <c r="D20" s="238">
        <f t="shared" si="4"/>
        <v>7.6923076923076925</v>
      </c>
      <c r="E20" s="237">
        <f t="shared" si="3"/>
        <v>1.6923076923076923</v>
      </c>
      <c r="F20" s="242">
        <f t="shared" si="0"/>
        <v>9.384615384615385</v>
      </c>
      <c r="G20" s="237">
        <f t="shared" si="2"/>
        <v>6.6780381015314264E-2</v>
      </c>
      <c r="H20" s="242">
        <f t="shared" si="1"/>
        <v>140.52952741409604</v>
      </c>
      <c r="I20" s="242"/>
      <c r="J20" s="264"/>
      <c r="K20" s="254"/>
      <c r="L20" s="254"/>
      <c r="M20" s="254"/>
      <c r="N20" s="237"/>
      <c r="O20" s="237"/>
    </row>
    <row r="21" spans="1:15">
      <c r="A21" s="245" t="s">
        <v>125</v>
      </c>
      <c r="B21" s="246">
        <v>9</v>
      </c>
      <c r="C21" s="243">
        <f t="shared" si="5"/>
        <v>76.92307692307692</v>
      </c>
      <c r="D21" s="243">
        <f t="shared" si="4"/>
        <v>7.6923076923076925</v>
      </c>
      <c r="E21" s="247">
        <f t="shared" si="3"/>
        <v>1.5384615384615383</v>
      </c>
      <c r="F21" s="248">
        <f t="shared" si="0"/>
        <v>9.2307692307692299</v>
      </c>
      <c r="G21" s="237">
        <f t="shared" si="2"/>
        <v>7.1455007686386268E-2</v>
      </c>
      <c r="H21" s="248">
        <f t="shared" si="1"/>
        <v>129.18295763514266</v>
      </c>
      <c r="I21" s="237"/>
      <c r="J21" s="264"/>
      <c r="K21" s="254"/>
      <c r="L21" s="254"/>
      <c r="M21" s="255"/>
      <c r="N21" s="237"/>
      <c r="O21" s="237"/>
    </row>
    <row r="22" spans="1:15">
      <c r="A22" s="231" t="s">
        <v>126</v>
      </c>
      <c r="B22" s="240">
        <v>10</v>
      </c>
      <c r="C22" s="243">
        <f t="shared" si="5"/>
        <v>69.230769230769226</v>
      </c>
      <c r="D22" s="238">
        <f t="shared" si="4"/>
        <v>7.6923076923076925</v>
      </c>
      <c r="E22" s="237">
        <f t="shared" si="3"/>
        <v>1.3846153846153846</v>
      </c>
      <c r="F22" s="242">
        <f t="shared" si="0"/>
        <v>9.0769230769230766</v>
      </c>
      <c r="G22" s="237">
        <f t="shared" si="2"/>
        <v>7.6456858224433308E-2</v>
      </c>
      <c r="H22" s="242">
        <f t="shared" si="1"/>
        <v>118.71954050581647</v>
      </c>
      <c r="I22" s="237"/>
      <c r="J22" s="264"/>
      <c r="K22" s="254"/>
      <c r="L22" s="242"/>
      <c r="M22" s="242"/>
      <c r="N22" s="237"/>
      <c r="O22" s="237"/>
    </row>
    <row r="23" spans="1:15">
      <c r="A23" s="231" t="s">
        <v>127</v>
      </c>
      <c r="B23" s="240">
        <v>11</v>
      </c>
      <c r="C23" s="243">
        <f t="shared" si="5"/>
        <v>61.538461538461533</v>
      </c>
      <c r="D23" s="238">
        <f t="shared" si="4"/>
        <v>7.6923076923076925</v>
      </c>
      <c r="E23" s="237">
        <f t="shared" si="3"/>
        <v>1.2307692307692306</v>
      </c>
      <c r="F23" s="242">
        <f t="shared" si="0"/>
        <v>8.9230769230769234</v>
      </c>
      <c r="G23" s="237">
        <f t="shared" si="2"/>
        <v>8.1808838300143641E-2</v>
      </c>
      <c r="H23" s="242">
        <f t="shared" si="1"/>
        <v>109.07228495703082</v>
      </c>
      <c r="I23" s="242"/>
      <c r="J23" s="264"/>
      <c r="K23" s="254"/>
      <c r="L23" s="242"/>
      <c r="M23" s="242"/>
      <c r="N23" s="237"/>
      <c r="O23" s="237"/>
    </row>
    <row r="24" spans="1:15">
      <c r="A24" s="231" t="s">
        <v>128</v>
      </c>
      <c r="B24" s="235">
        <v>12</v>
      </c>
      <c r="C24" s="243">
        <f t="shared" si="5"/>
        <v>53.84615384615384</v>
      </c>
      <c r="D24" s="238">
        <f t="shared" si="4"/>
        <v>7.6923076923076925</v>
      </c>
      <c r="E24" s="237">
        <f t="shared" si="3"/>
        <v>1.0769230769230769</v>
      </c>
      <c r="F24" s="237">
        <f t="shared" si="0"/>
        <v>8.7692307692307701</v>
      </c>
      <c r="G24" s="237">
        <f t="shared" si="2"/>
        <v>8.7535456981153698E-2</v>
      </c>
      <c r="H24" s="237">
        <f t="shared" si="1"/>
        <v>100.17918534564545</v>
      </c>
      <c r="I24" s="237"/>
      <c r="J24" s="263"/>
      <c r="K24" s="254"/>
      <c r="L24" s="242"/>
      <c r="M24" s="242"/>
      <c r="N24" s="237"/>
      <c r="O24" s="237"/>
    </row>
    <row r="25" spans="1:15">
      <c r="A25" s="231" t="s">
        <v>129</v>
      </c>
      <c r="B25" s="235">
        <v>13</v>
      </c>
      <c r="C25" s="243">
        <f t="shared" si="5"/>
        <v>46.153846153846146</v>
      </c>
      <c r="D25" s="238">
        <f t="shared" si="4"/>
        <v>7.6923076923076925</v>
      </c>
      <c r="E25" s="237">
        <f t="shared" si="3"/>
        <v>0.92307692307692291</v>
      </c>
      <c r="F25" s="237">
        <f t="shared" si="0"/>
        <v>8.615384615384615</v>
      </c>
      <c r="G25" s="237">
        <f t="shared" si="2"/>
        <v>9.366293896983445E-2</v>
      </c>
      <c r="H25" s="237">
        <f t="shared" si="1"/>
        <v>91.982855867456053</v>
      </c>
      <c r="I25" s="237"/>
      <c r="J25" s="263"/>
      <c r="K25" s="254"/>
      <c r="L25" s="242"/>
      <c r="M25" s="242"/>
      <c r="N25" s="237"/>
      <c r="O25" s="237"/>
    </row>
    <row r="26" spans="1:15">
      <c r="A26" s="231" t="s">
        <v>130</v>
      </c>
      <c r="B26" s="235">
        <v>14</v>
      </c>
      <c r="C26" s="243">
        <f t="shared" si="5"/>
        <v>38.461538461538453</v>
      </c>
      <c r="D26" s="238">
        <f t="shared" si="4"/>
        <v>7.6923076923076925</v>
      </c>
      <c r="E26" s="237">
        <f t="shared" si="3"/>
        <v>0.76923076923076905</v>
      </c>
      <c r="F26" s="237">
        <f t="shared" si="0"/>
        <v>8.4615384615384617</v>
      </c>
      <c r="G26" s="237">
        <f t="shared" si="2"/>
        <v>0.10021934469772288</v>
      </c>
      <c r="H26" s="237">
        <f t="shared" si="1"/>
        <v>84.430191467124203</v>
      </c>
      <c r="I26" s="237"/>
      <c r="J26" s="263"/>
      <c r="K26" s="254"/>
      <c r="L26" s="242"/>
      <c r="M26" s="242"/>
      <c r="N26" s="237"/>
      <c r="O26" s="237"/>
    </row>
    <row r="27" spans="1:15">
      <c r="A27" s="231" t="s">
        <v>131</v>
      </c>
      <c r="B27" s="235">
        <v>15</v>
      </c>
      <c r="C27" s="243">
        <f t="shared" si="5"/>
        <v>30.769230769230759</v>
      </c>
      <c r="D27" s="238">
        <f t="shared" si="4"/>
        <v>7.6923076923076925</v>
      </c>
      <c r="E27" s="237">
        <f t="shared" si="3"/>
        <v>0.6153846153846152</v>
      </c>
      <c r="F27" s="237">
        <f t="shared" si="0"/>
        <v>8.3076923076923084</v>
      </c>
      <c r="G27" s="237">
        <f t="shared" si="2"/>
        <v>0.10723469882656347</v>
      </c>
      <c r="H27" s="237">
        <f t="shared" si="1"/>
        <v>77.472053342815769</v>
      </c>
      <c r="I27" s="237"/>
      <c r="J27" s="263"/>
      <c r="K27" s="254"/>
      <c r="L27" s="242"/>
      <c r="M27" s="242"/>
      <c r="N27" s="237"/>
      <c r="O27" s="237"/>
    </row>
    <row r="28" spans="1:15">
      <c r="A28" s="231" t="s">
        <v>132</v>
      </c>
      <c r="B28" s="235">
        <v>16</v>
      </c>
      <c r="C28" s="243">
        <f t="shared" si="5"/>
        <v>23.076923076923066</v>
      </c>
      <c r="D28" s="265"/>
      <c r="E28" s="249"/>
      <c r="F28" s="237">
        <f t="shared" si="0"/>
        <v>0</v>
      </c>
      <c r="G28" s="237">
        <f t="shared" si="2"/>
        <v>0.11474112774442291</v>
      </c>
      <c r="H28" s="237">
        <f t="shared" si="1"/>
        <v>0</v>
      </c>
      <c r="I28" s="237"/>
      <c r="J28" s="263"/>
      <c r="K28" s="451">
        <f>C13/13</f>
        <v>7.6923076923076925</v>
      </c>
      <c r="L28" s="451">
        <f>C28*$B$6+L27</f>
        <v>0.46153846153846134</v>
      </c>
      <c r="M28" s="451">
        <f t="shared" ref="M28:M59" si="6">$G$6*(K28+L28)+M27</f>
        <v>0.57076923076923081</v>
      </c>
      <c r="N28" s="237"/>
      <c r="O28" s="237"/>
    </row>
    <row r="29" spans="1:15">
      <c r="A29" s="231" t="s">
        <v>133</v>
      </c>
      <c r="B29" s="235">
        <v>17</v>
      </c>
      <c r="C29" s="243">
        <f t="shared" si="5"/>
        <v>23.076923076923066</v>
      </c>
      <c r="D29" s="265"/>
      <c r="E29" s="249"/>
      <c r="F29" s="237">
        <f t="shared" si="0"/>
        <v>0</v>
      </c>
      <c r="G29" s="237">
        <f t="shared" si="2"/>
        <v>0.1227730066865325</v>
      </c>
      <c r="H29" s="237">
        <f t="shared" si="1"/>
        <v>0</v>
      </c>
      <c r="I29" s="237"/>
      <c r="J29" s="263"/>
      <c r="K29" s="451">
        <f>C13/13+K28</f>
        <v>15.384615384615385</v>
      </c>
      <c r="L29" s="451">
        <f>C29*$B$6+L28</f>
        <v>0.92307692307692268</v>
      </c>
      <c r="M29" s="451">
        <f t="shared" si="6"/>
        <v>1.7123076923076925</v>
      </c>
      <c r="N29" s="237"/>
      <c r="O29" s="237"/>
    </row>
    <row r="30" spans="1:15">
      <c r="A30" s="231" t="s">
        <v>74</v>
      </c>
      <c r="B30" s="235">
        <v>18</v>
      </c>
      <c r="C30" s="243">
        <f t="shared" si="5"/>
        <v>23.076923076923066</v>
      </c>
      <c r="D30" s="265"/>
      <c r="E30" s="249"/>
      <c r="F30" s="237">
        <f t="shared" si="0"/>
        <v>0</v>
      </c>
      <c r="G30" s="237">
        <f t="shared" si="2"/>
        <v>0.13136711715458982</v>
      </c>
      <c r="H30" s="237">
        <f t="shared" si="1"/>
        <v>0</v>
      </c>
      <c r="I30" s="237"/>
      <c r="J30" s="263"/>
      <c r="K30" s="451">
        <f>C13/13+K29</f>
        <v>23.076923076923077</v>
      </c>
      <c r="L30" s="451">
        <f>$C$30*$B$6+$L$29</f>
        <v>1.3846153846153841</v>
      </c>
      <c r="M30" s="451">
        <f t="shared" si="6"/>
        <v>3.4246153846153851</v>
      </c>
      <c r="N30" s="237"/>
      <c r="O30" s="237"/>
    </row>
    <row r="31" spans="1:15" ht="12.75" customHeight="1">
      <c r="A31" s="231" t="s">
        <v>73</v>
      </c>
      <c r="B31" s="235">
        <v>19</v>
      </c>
      <c r="C31" s="243">
        <f t="shared" si="5"/>
        <v>23.076923076923066</v>
      </c>
      <c r="D31" s="242"/>
      <c r="E31" s="237"/>
      <c r="F31" s="237"/>
      <c r="G31" s="237">
        <f t="shared" si="2"/>
        <v>0.1405628153554111</v>
      </c>
      <c r="H31" s="237">
        <f t="shared" si="1"/>
        <v>0</v>
      </c>
      <c r="I31" s="237"/>
      <c r="J31" s="263"/>
      <c r="K31" s="451">
        <f>K30</f>
        <v>23.076923076923077</v>
      </c>
      <c r="L31" s="451">
        <f>$C$30*$B$6+$L$29</f>
        <v>1.3846153846153841</v>
      </c>
      <c r="M31" s="451">
        <f t="shared" si="6"/>
        <v>5.1369230769230771</v>
      </c>
      <c r="N31" s="237"/>
      <c r="O31" s="237"/>
    </row>
    <row r="32" spans="1:15">
      <c r="A32" s="231" t="s">
        <v>72</v>
      </c>
      <c r="B32" s="235">
        <v>20</v>
      </c>
      <c r="C32" s="243">
        <f t="shared" si="5"/>
        <v>23.076923076923066</v>
      </c>
      <c r="D32" s="266"/>
      <c r="E32" s="266"/>
      <c r="F32" s="266"/>
      <c r="G32" s="237">
        <f t="shared" si="2"/>
        <v>0.15040221243028987</v>
      </c>
      <c r="H32" s="237">
        <f t="shared" si="1"/>
        <v>0</v>
      </c>
      <c r="I32" s="266"/>
      <c r="J32" s="263"/>
      <c r="K32" s="451">
        <f t="shared" ref="K32:K59" si="7">K31</f>
        <v>23.076923076923077</v>
      </c>
      <c r="L32" s="451">
        <f>$C$30*$B$6+$L$29</f>
        <v>1.3846153846153841</v>
      </c>
      <c r="M32" s="451">
        <f t="shared" si="6"/>
        <v>6.8492307692307692</v>
      </c>
      <c r="N32" s="266"/>
      <c r="O32" s="237"/>
    </row>
    <row r="33" spans="1:16">
      <c r="A33" s="231" t="s">
        <v>71</v>
      </c>
      <c r="B33" s="235">
        <v>21</v>
      </c>
      <c r="C33" s="243">
        <f t="shared" si="5"/>
        <v>23.076923076923066</v>
      </c>
      <c r="D33" s="266"/>
      <c r="E33" s="266"/>
      <c r="F33" s="266"/>
      <c r="G33" s="237">
        <f t="shared" si="2"/>
        <v>0.16093036730041013</v>
      </c>
      <c r="H33" s="237">
        <f t="shared" si="1"/>
        <v>0</v>
      </c>
      <c r="I33" s="266"/>
      <c r="J33" s="263"/>
      <c r="K33" s="451">
        <f t="shared" si="7"/>
        <v>23.076923076923077</v>
      </c>
      <c r="L33" s="451">
        <f t="shared" ref="L33:L59" si="8">$C$30*$B$6+$L$29</f>
        <v>1.3846153846153841</v>
      </c>
      <c r="M33" s="451">
        <f t="shared" si="6"/>
        <v>8.5615384615384613</v>
      </c>
      <c r="N33" s="266"/>
      <c r="O33" s="237"/>
    </row>
    <row r="34" spans="1:16">
      <c r="A34" s="231" t="s">
        <v>70</v>
      </c>
      <c r="B34" s="235">
        <v>22</v>
      </c>
      <c r="C34" s="243">
        <f t="shared" si="5"/>
        <v>23.076923076923066</v>
      </c>
      <c r="D34" s="266"/>
      <c r="E34" s="266"/>
      <c r="F34" s="266"/>
      <c r="G34" s="237">
        <f t="shared" si="2"/>
        <v>0.17219549301143888</v>
      </c>
      <c r="H34" s="237">
        <f t="shared" si="1"/>
        <v>0</v>
      </c>
      <c r="I34" s="266"/>
      <c r="J34" s="263"/>
      <c r="K34" s="451">
        <f t="shared" si="7"/>
        <v>23.076923076923077</v>
      </c>
      <c r="L34" s="451">
        <f t="shared" si="8"/>
        <v>1.3846153846153841</v>
      </c>
      <c r="M34" s="451">
        <f t="shared" si="6"/>
        <v>10.273846153846154</v>
      </c>
      <c r="N34" s="266"/>
      <c r="O34" s="237"/>
    </row>
    <row r="35" spans="1:16">
      <c r="A35" s="231" t="s">
        <v>69</v>
      </c>
      <c r="B35" s="235">
        <v>23</v>
      </c>
      <c r="C35" s="243">
        <f t="shared" si="5"/>
        <v>23.076923076923066</v>
      </c>
      <c r="D35" s="266"/>
      <c r="E35" s="266"/>
      <c r="F35" s="267"/>
      <c r="G35" s="237">
        <f t="shared" si="2"/>
        <v>0.18424917752223957</v>
      </c>
      <c r="H35" s="237">
        <f t="shared" si="1"/>
        <v>0</v>
      </c>
      <c r="I35" s="266"/>
      <c r="J35" s="263"/>
      <c r="K35" s="451">
        <f t="shared" si="7"/>
        <v>23.076923076923077</v>
      </c>
      <c r="L35" s="451">
        <f t="shared" si="8"/>
        <v>1.3846153846153841</v>
      </c>
      <c r="M35" s="451">
        <f t="shared" si="6"/>
        <v>11.986153846153847</v>
      </c>
      <c r="N35" s="266"/>
      <c r="O35" s="237"/>
    </row>
    <row r="36" spans="1:16">
      <c r="A36" s="231" t="s">
        <v>68</v>
      </c>
      <c r="B36" s="235">
        <v>24</v>
      </c>
      <c r="C36" s="243">
        <f t="shared" si="5"/>
        <v>23.076923076923066</v>
      </c>
      <c r="D36" s="267"/>
      <c r="E36" s="267"/>
      <c r="F36" s="267"/>
      <c r="G36" s="237">
        <f t="shared" si="2"/>
        <v>0.19714661994879637</v>
      </c>
      <c r="H36" s="237">
        <f t="shared" si="1"/>
        <v>0</v>
      </c>
      <c r="I36" s="266"/>
      <c r="J36" s="263"/>
      <c r="K36" s="451">
        <f t="shared" si="7"/>
        <v>23.076923076923077</v>
      </c>
      <c r="L36" s="451">
        <f t="shared" si="8"/>
        <v>1.3846153846153841</v>
      </c>
      <c r="M36" s="451">
        <f t="shared" si="6"/>
        <v>13.69846153846154</v>
      </c>
      <c r="N36" s="266"/>
      <c r="O36" s="237"/>
    </row>
    <row r="37" spans="1:16">
      <c r="A37" s="231" t="s">
        <v>49</v>
      </c>
      <c r="B37" s="235">
        <v>25</v>
      </c>
      <c r="C37" s="243">
        <f t="shared" si="5"/>
        <v>23.076923076923066</v>
      </c>
      <c r="D37" s="266"/>
      <c r="E37" s="266"/>
      <c r="F37" s="268"/>
      <c r="G37" s="237">
        <f t="shared" si="2"/>
        <v>0.21094688334521211</v>
      </c>
      <c r="H37" s="237">
        <f t="shared" si="1"/>
        <v>0</v>
      </c>
      <c r="I37" s="266"/>
      <c r="J37" s="263"/>
      <c r="K37" s="451">
        <f t="shared" si="7"/>
        <v>23.076923076923077</v>
      </c>
      <c r="L37" s="451">
        <f t="shared" si="8"/>
        <v>1.3846153846153841</v>
      </c>
      <c r="M37" s="451">
        <f t="shared" si="6"/>
        <v>15.410769230769233</v>
      </c>
      <c r="N37" s="266"/>
      <c r="O37" s="237"/>
    </row>
    <row r="38" spans="1:16">
      <c r="A38" s="231" t="s">
        <v>48</v>
      </c>
      <c r="B38" s="235">
        <v>26</v>
      </c>
      <c r="C38" s="243">
        <f t="shared" si="5"/>
        <v>23.076923076923066</v>
      </c>
      <c r="D38" s="242"/>
      <c r="E38" s="242"/>
      <c r="F38" s="242"/>
      <c r="G38" s="237">
        <f t="shared" si="2"/>
        <v>0.22571316517937698</v>
      </c>
      <c r="H38" s="237">
        <f t="shared" si="1"/>
        <v>0</v>
      </c>
      <c r="I38" s="242"/>
      <c r="J38" s="263"/>
      <c r="K38" s="451">
        <f t="shared" si="7"/>
        <v>23.076923076923077</v>
      </c>
      <c r="L38" s="451">
        <f t="shared" si="8"/>
        <v>1.3846153846153841</v>
      </c>
      <c r="M38" s="451">
        <f t="shared" si="6"/>
        <v>17.123076923076926</v>
      </c>
      <c r="N38" s="242"/>
      <c r="O38" s="237"/>
    </row>
    <row r="39" spans="1:16">
      <c r="A39" s="231" t="s">
        <v>47</v>
      </c>
      <c r="B39" s="235">
        <v>27</v>
      </c>
      <c r="C39" s="243">
        <f t="shared" si="5"/>
        <v>23.076923076923066</v>
      </c>
      <c r="D39" s="242"/>
      <c r="E39" s="242"/>
      <c r="F39" s="242"/>
      <c r="G39" s="237">
        <f t="shared" si="2"/>
        <v>0.24151308674193336</v>
      </c>
      <c r="H39" s="237">
        <f t="shared" si="1"/>
        <v>0</v>
      </c>
      <c r="I39" s="242"/>
      <c r="J39" s="263"/>
      <c r="K39" s="451">
        <f t="shared" si="7"/>
        <v>23.076923076923077</v>
      </c>
      <c r="L39" s="451">
        <f t="shared" si="8"/>
        <v>1.3846153846153841</v>
      </c>
      <c r="M39" s="451">
        <f t="shared" si="6"/>
        <v>18.835384615384619</v>
      </c>
      <c r="N39" s="242"/>
      <c r="O39" s="237"/>
    </row>
    <row r="40" spans="1:16">
      <c r="A40" s="231" t="s">
        <v>46</v>
      </c>
      <c r="B40" s="235">
        <v>28</v>
      </c>
      <c r="C40" s="243">
        <f t="shared" si="5"/>
        <v>23.076923076923066</v>
      </c>
      <c r="D40" s="242"/>
      <c r="E40" s="242"/>
      <c r="F40" s="242"/>
      <c r="G40" s="237">
        <f t="shared" si="2"/>
        <v>0.2584190028138687</v>
      </c>
      <c r="H40" s="237">
        <f t="shared" si="1"/>
        <v>0</v>
      </c>
      <c r="I40" s="242"/>
      <c r="J40" s="263"/>
      <c r="K40" s="451">
        <f t="shared" si="7"/>
        <v>23.076923076923077</v>
      </c>
      <c r="L40" s="451">
        <f t="shared" si="8"/>
        <v>1.3846153846153841</v>
      </c>
      <c r="M40" s="451">
        <f t="shared" si="6"/>
        <v>20.547692307692312</v>
      </c>
      <c r="N40" s="242"/>
      <c r="O40" s="237"/>
    </row>
    <row r="41" spans="1:16">
      <c r="A41" s="231" t="s">
        <v>45</v>
      </c>
      <c r="B41" s="235">
        <v>29</v>
      </c>
      <c r="C41" s="243">
        <f t="shared" si="5"/>
        <v>23.076923076923066</v>
      </c>
      <c r="D41" s="242"/>
      <c r="E41" s="242"/>
      <c r="F41" s="242"/>
      <c r="G41" s="237">
        <f t="shared" si="2"/>
        <v>0.27650833301083949</v>
      </c>
      <c r="H41" s="237">
        <f t="shared" si="1"/>
        <v>0</v>
      </c>
      <c r="I41" s="242"/>
      <c r="J41" s="263"/>
      <c r="K41" s="451">
        <f t="shared" si="7"/>
        <v>23.076923076923077</v>
      </c>
      <c r="L41" s="451">
        <f t="shared" si="8"/>
        <v>1.3846153846153841</v>
      </c>
      <c r="M41" s="451">
        <f t="shared" si="6"/>
        <v>22.260000000000005</v>
      </c>
      <c r="N41" s="242"/>
      <c r="O41" s="237"/>
    </row>
    <row r="42" spans="1:16" s="250" customFormat="1">
      <c r="A42" s="231" t="s">
        <v>44</v>
      </c>
      <c r="B42" s="235">
        <v>30</v>
      </c>
      <c r="C42" s="243">
        <f t="shared" si="5"/>
        <v>23.076923076923066</v>
      </c>
      <c r="D42" s="237"/>
      <c r="E42" s="237"/>
      <c r="F42" s="242"/>
      <c r="G42" s="237">
        <f t="shared" si="2"/>
        <v>0.29586391632159825</v>
      </c>
      <c r="H42" s="237">
        <f t="shared" si="1"/>
        <v>0</v>
      </c>
      <c r="I42" s="242"/>
      <c r="J42" s="263"/>
      <c r="K42" s="451">
        <f t="shared" si="7"/>
        <v>23.076923076923077</v>
      </c>
      <c r="L42" s="451">
        <f t="shared" si="8"/>
        <v>1.3846153846153841</v>
      </c>
      <c r="M42" s="451">
        <f t="shared" si="6"/>
        <v>23.972307692307698</v>
      </c>
      <c r="N42" s="242"/>
      <c r="O42" s="237"/>
      <c r="P42" s="196"/>
    </row>
    <row r="43" spans="1:16" s="250" customFormat="1">
      <c r="A43" s="231" t="s">
        <v>43</v>
      </c>
      <c r="B43" s="235">
        <v>31</v>
      </c>
      <c r="C43" s="243">
        <f t="shared" si="5"/>
        <v>23.076923076923066</v>
      </c>
      <c r="D43" s="237"/>
      <c r="E43" s="237"/>
      <c r="F43" s="242"/>
      <c r="G43" s="237">
        <f t="shared" si="2"/>
        <v>0.31657439046411018</v>
      </c>
      <c r="H43" s="237">
        <f t="shared" si="1"/>
        <v>0</v>
      </c>
      <c r="I43" s="242"/>
      <c r="J43" s="263"/>
      <c r="K43" s="451">
        <f t="shared" si="7"/>
        <v>23.076923076923077</v>
      </c>
      <c r="L43" s="451">
        <f t="shared" si="8"/>
        <v>1.3846153846153841</v>
      </c>
      <c r="M43" s="451">
        <f t="shared" si="6"/>
        <v>25.684615384615391</v>
      </c>
      <c r="N43" s="242"/>
      <c r="O43" s="237"/>
      <c r="P43" s="196"/>
    </row>
    <row r="44" spans="1:16" s="250" customFormat="1">
      <c r="A44" s="231" t="s">
        <v>42</v>
      </c>
      <c r="B44" s="235">
        <v>32</v>
      </c>
      <c r="C44" s="243">
        <f t="shared" si="5"/>
        <v>23.076923076923066</v>
      </c>
      <c r="D44" s="237"/>
      <c r="E44" s="237"/>
      <c r="F44" s="242"/>
      <c r="G44" s="237">
        <f t="shared" si="2"/>
        <v>0.33873459779659787</v>
      </c>
      <c r="H44" s="237">
        <f t="shared" si="1"/>
        <v>0</v>
      </c>
      <c r="I44" s="242"/>
      <c r="J44" s="263"/>
      <c r="K44" s="451">
        <f t="shared" si="7"/>
        <v>23.076923076923077</v>
      </c>
      <c r="L44" s="451">
        <f t="shared" si="8"/>
        <v>1.3846153846153841</v>
      </c>
      <c r="M44" s="451">
        <f t="shared" si="6"/>
        <v>27.396923076923084</v>
      </c>
      <c r="N44" s="242"/>
      <c r="O44" s="237"/>
      <c r="P44" s="196"/>
    </row>
    <row r="45" spans="1:16" s="250" customFormat="1">
      <c r="A45" s="231" t="s">
        <v>41</v>
      </c>
      <c r="B45" s="235">
        <v>33</v>
      </c>
      <c r="C45" s="243">
        <f t="shared" si="5"/>
        <v>23.076923076923066</v>
      </c>
      <c r="D45" s="237"/>
      <c r="E45" s="237"/>
      <c r="F45" s="242"/>
      <c r="G45" s="237">
        <f t="shared" si="2"/>
        <v>0.36244601964235967</v>
      </c>
      <c r="H45" s="237">
        <f t="shared" si="1"/>
        <v>0</v>
      </c>
      <c r="I45" s="242"/>
      <c r="J45" s="263"/>
      <c r="K45" s="451">
        <f t="shared" si="7"/>
        <v>23.076923076923077</v>
      </c>
      <c r="L45" s="451">
        <f t="shared" si="8"/>
        <v>1.3846153846153841</v>
      </c>
      <c r="M45" s="451">
        <f t="shared" si="6"/>
        <v>29.109230769230777</v>
      </c>
      <c r="N45" s="242"/>
      <c r="O45" s="237"/>
      <c r="P45" s="196"/>
    </row>
    <row r="46" spans="1:16" s="250" customFormat="1">
      <c r="A46" s="231" t="s">
        <v>40</v>
      </c>
      <c r="B46" s="235">
        <v>34</v>
      </c>
      <c r="C46" s="243">
        <f t="shared" si="5"/>
        <v>23.076923076923066</v>
      </c>
      <c r="D46" s="237"/>
      <c r="E46" s="237"/>
      <c r="F46" s="242"/>
      <c r="G46" s="237">
        <f t="shared" si="2"/>
        <v>0.3878172410173249</v>
      </c>
      <c r="H46" s="237">
        <f t="shared" si="1"/>
        <v>0</v>
      </c>
      <c r="I46" s="242"/>
      <c r="J46" s="263"/>
      <c r="K46" s="451">
        <f t="shared" si="7"/>
        <v>23.076923076923077</v>
      </c>
      <c r="L46" s="451">
        <f t="shared" si="8"/>
        <v>1.3846153846153841</v>
      </c>
      <c r="M46" s="451">
        <f t="shared" si="6"/>
        <v>30.82153846153847</v>
      </c>
      <c r="N46" s="242"/>
      <c r="O46" s="237"/>
      <c r="P46" s="196"/>
    </row>
    <row r="47" spans="1:16" s="250" customFormat="1">
      <c r="A47" s="231" t="s">
        <v>39</v>
      </c>
      <c r="B47" s="235">
        <v>35</v>
      </c>
      <c r="C47" s="243">
        <f t="shared" si="5"/>
        <v>23.076923076923066</v>
      </c>
      <c r="D47" s="237"/>
      <c r="E47" s="237"/>
      <c r="F47" s="242"/>
      <c r="G47" s="237">
        <f t="shared" si="2"/>
        <v>0.41496444788853759</v>
      </c>
      <c r="H47" s="237">
        <f t="shared" si="1"/>
        <v>0</v>
      </c>
      <c r="I47" s="242"/>
      <c r="J47" s="263"/>
      <c r="K47" s="451">
        <f t="shared" si="7"/>
        <v>23.076923076923077</v>
      </c>
      <c r="L47" s="451">
        <f t="shared" si="8"/>
        <v>1.3846153846153841</v>
      </c>
      <c r="M47" s="451">
        <f t="shared" si="6"/>
        <v>32.533846153846163</v>
      </c>
      <c r="N47" s="242"/>
      <c r="O47" s="237"/>
      <c r="P47" s="196"/>
    </row>
    <row r="48" spans="1:16" s="197" customFormat="1">
      <c r="A48" s="231" t="s">
        <v>38</v>
      </c>
      <c r="B48" s="235">
        <v>36</v>
      </c>
      <c r="C48" s="243">
        <f t="shared" si="5"/>
        <v>23.076923076923066</v>
      </c>
      <c r="D48" s="237"/>
      <c r="E48" s="237"/>
      <c r="F48" s="242"/>
      <c r="G48" s="237">
        <f t="shared" si="2"/>
        <v>0.44401195924073528</v>
      </c>
      <c r="H48" s="237">
        <f t="shared" si="1"/>
        <v>0</v>
      </c>
      <c r="I48" s="242"/>
      <c r="J48" s="263"/>
      <c r="K48" s="451">
        <f t="shared" si="7"/>
        <v>23.076923076923077</v>
      </c>
      <c r="L48" s="451">
        <f t="shared" si="8"/>
        <v>1.3846153846153841</v>
      </c>
      <c r="M48" s="451">
        <f t="shared" si="6"/>
        <v>34.246153846153852</v>
      </c>
      <c r="N48" s="242"/>
      <c r="O48" s="237"/>
      <c r="P48" s="196"/>
    </row>
    <row r="49" spans="1:16" s="197" customFormat="1">
      <c r="A49" s="231" t="s">
        <v>37</v>
      </c>
      <c r="B49" s="235">
        <v>37</v>
      </c>
      <c r="C49" s="243">
        <f t="shared" si="5"/>
        <v>23.076923076923066</v>
      </c>
      <c r="D49" s="237"/>
      <c r="E49" s="237"/>
      <c r="F49" s="242"/>
      <c r="G49" s="237">
        <f t="shared" si="2"/>
        <v>0.47509279638758667</v>
      </c>
      <c r="H49" s="237">
        <f t="shared" si="1"/>
        <v>0</v>
      </c>
      <c r="I49" s="242"/>
      <c r="J49" s="263"/>
      <c r="K49" s="451">
        <f t="shared" si="7"/>
        <v>23.076923076923077</v>
      </c>
      <c r="L49" s="451">
        <f t="shared" si="8"/>
        <v>1.3846153846153841</v>
      </c>
      <c r="M49" s="451">
        <f t="shared" si="6"/>
        <v>35.958461538461542</v>
      </c>
      <c r="N49" s="242"/>
      <c r="O49" s="237"/>
      <c r="P49" s="196"/>
    </row>
    <row r="50" spans="1:16" s="197" customFormat="1">
      <c r="A50" s="231" t="s">
        <v>36</v>
      </c>
      <c r="B50" s="235">
        <v>38</v>
      </c>
      <c r="C50" s="243">
        <f t="shared" si="5"/>
        <v>23.076923076923066</v>
      </c>
      <c r="D50" s="237"/>
      <c r="E50" s="237"/>
      <c r="F50" s="242"/>
      <c r="G50" s="237">
        <f t="shared" si="2"/>
        <v>0.5083492921347178</v>
      </c>
      <c r="H50" s="237">
        <f t="shared" si="1"/>
        <v>0</v>
      </c>
      <c r="I50" s="242"/>
      <c r="J50" s="263"/>
      <c r="K50" s="451">
        <f t="shared" si="7"/>
        <v>23.076923076923077</v>
      </c>
      <c r="L50" s="451">
        <f t="shared" si="8"/>
        <v>1.3846153846153841</v>
      </c>
      <c r="M50" s="451">
        <f t="shared" si="6"/>
        <v>37.670769230769231</v>
      </c>
      <c r="N50" s="242"/>
      <c r="O50" s="237"/>
      <c r="P50" s="196"/>
    </row>
    <row r="51" spans="1:16" s="197" customFormat="1">
      <c r="A51" s="231" t="s">
        <v>35</v>
      </c>
      <c r="B51" s="235">
        <v>39</v>
      </c>
      <c r="C51" s="243">
        <f t="shared" si="5"/>
        <v>23.076923076923066</v>
      </c>
      <c r="D51" s="237"/>
      <c r="E51" s="237"/>
      <c r="F51" s="242"/>
      <c r="G51" s="237">
        <f t="shared" si="2"/>
        <v>0.54393374258414806</v>
      </c>
      <c r="H51" s="237">
        <f t="shared" si="1"/>
        <v>0</v>
      </c>
      <c r="I51" s="242"/>
      <c r="J51" s="263"/>
      <c r="K51" s="451">
        <f t="shared" si="7"/>
        <v>23.076923076923077</v>
      </c>
      <c r="L51" s="451">
        <f t="shared" si="8"/>
        <v>1.3846153846153841</v>
      </c>
      <c r="M51" s="451">
        <f t="shared" si="6"/>
        <v>39.383076923076921</v>
      </c>
      <c r="N51" s="242"/>
      <c r="O51" s="237"/>
      <c r="P51" s="196"/>
    </row>
    <row r="52" spans="1:16">
      <c r="A52" s="231" t="s">
        <v>34</v>
      </c>
      <c r="B52" s="235">
        <v>40</v>
      </c>
      <c r="C52" s="243">
        <f t="shared" si="5"/>
        <v>23.076923076923066</v>
      </c>
      <c r="D52" s="237"/>
      <c r="E52" s="237"/>
      <c r="F52" s="242"/>
      <c r="G52" s="237">
        <f t="shared" si="2"/>
        <v>0.5820091045650384</v>
      </c>
      <c r="H52" s="237">
        <f t="shared" si="1"/>
        <v>0</v>
      </c>
      <c r="I52" s="242"/>
      <c r="J52" s="263"/>
      <c r="K52" s="451">
        <f t="shared" si="7"/>
        <v>23.076923076923077</v>
      </c>
      <c r="L52" s="451">
        <f t="shared" si="8"/>
        <v>1.3846153846153841</v>
      </c>
      <c r="M52" s="451">
        <f t="shared" si="6"/>
        <v>41.09538461538461</v>
      </c>
      <c r="N52" s="242"/>
      <c r="O52" s="237"/>
    </row>
    <row r="53" spans="1:16">
      <c r="A53" s="231" t="s">
        <v>33</v>
      </c>
      <c r="B53" s="235">
        <v>41</v>
      </c>
      <c r="C53" s="243">
        <f t="shared" si="5"/>
        <v>23.076923076923066</v>
      </c>
      <c r="D53" s="237"/>
      <c r="E53" s="237"/>
      <c r="F53" s="237"/>
      <c r="G53" s="237">
        <f t="shared" si="2"/>
        <v>0.62274974188459109</v>
      </c>
      <c r="H53" s="237">
        <f t="shared" si="1"/>
        <v>0</v>
      </c>
      <c r="I53" s="237"/>
      <c r="J53" s="263"/>
      <c r="K53" s="451">
        <f t="shared" si="7"/>
        <v>23.076923076923077</v>
      </c>
      <c r="L53" s="451">
        <f t="shared" si="8"/>
        <v>1.3846153846153841</v>
      </c>
      <c r="M53" s="451">
        <f t="shared" si="6"/>
        <v>42.807692307692299</v>
      </c>
      <c r="N53" s="237"/>
      <c r="O53" s="237"/>
    </row>
    <row r="54" spans="1:16">
      <c r="A54" s="231" t="s">
        <v>32</v>
      </c>
      <c r="B54" s="235">
        <v>42</v>
      </c>
      <c r="C54" s="243">
        <f t="shared" si="5"/>
        <v>23.076923076923066</v>
      </c>
      <c r="D54" s="237"/>
      <c r="E54" s="237"/>
      <c r="F54" s="237"/>
      <c r="G54" s="237">
        <f t="shared" si="2"/>
        <v>0.66634222381651254</v>
      </c>
      <c r="H54" s="237">
        <f t="shared" si="1"/>
        <v>0</v>
      </c>
      <c r="I54" s="237"/>
      <c r="J54" s="263"/>
      <c r="K54" s="451">
        <f t="shared" si="7"/>
        <v>23.076923076923077</v>
      </c>
      <c r="L54" s="451">
        <f t="shared" si="8"/>
        <v>1.3846153846153841</v>
      </c>
      <c r="M54" s="451">
        <f t="shared" si="6"/>
        <v>44.519999999999989</v>
      </c>
      <c r="N54" s="237"/>
      <c r="O54" s="237"/>
    </row>
    <row r="55" spans="1:16">
      <c r="A55" s="231" t="s">
        <v>31</v>
      </c>
      <c r="B55" s="235">
        <v>43</v>
      </c>
      <c r="C55" s="243">
        <f t="shared" si="5"/>
        <v>23.076923076923066</v>
      </c>
      <c r="D55" s="237"/>
      <c r="E55" s="237"/>
      <c r="F55" s="237"/>
      <c r="G55" s="237">
        <f t="shared" si="2"/>
        <v>0.71298617948366838</v>
      </c>
      <c r="H55" s="237">
        <f t="shared" si="1"/>
        <v>0</v>
      </c>
      <c r="I55" s="237"/>
      <c r="J55" s="263"/>
      <c r="K55" s="451">
        <f t="shared" si="7"/>
        <v>23.076923076923077</v>
      </c>
      <c r="L55" s="451">
        <f t="shared" si="8"/>
        <v>1.3846153846153841</v>
      </c>
      <c r="M55" s="451">
        <f t="shared" si="6"/>
        <v>46.232307692307678</v>
      </c>
      <c r="N55" s="237"/>
      <c r="O55" s="237"/>
    </row>
    <row r="56" spans="1:16">
      <c r="A56" s="231" t="s">
        <v>30</v>
      </c>
      <c r="B56" s="235">
        <v>44</v>
      </c>
      <c r="C56" s="243">
        <f t="shared" si="5"/>
        <v>23.076923076923066</v>
      </c>
      <c r="D56" s="237"/>
      <c r="E56" s="237"/>
      <c r="F56" s="237"/>
      <c r="G56" s="237">
        <f t="shared" si="2"/>
        <v>0.7628952120475252</v>
      </c>
      <c r="H56" s="237">
        <f t="shared" si="1"/>
        <v>0</v>
      </c>
      <c r="I56" s="237"/>
      <c r="J56" s="263"/>
      <c r="K56" s="451">
        <f t="shared" si="7"/>
        <v>23.076923076923077</v>
      </c>
      <c r="L56" s="451">
        <f t="shared" si="8"/>
        <v>1.3846153846153841</v>
      </c>
      <c r="M56" s="451">
        <f t="shared" si="6"/>
        <v>47.944615384615368</v>
      </c>
      <c r="N56" s="237"/>
      <c r="O56" s="237"/>
    </row>
    <row r="57" spans="1:16">
      <c r="A57" s="231" t="s">
        <v>29</v>
      </c>
      <c r="B57" s="235">
        <v>45</v>
      </c>
      <c r="C57" s="243">
        <f t="shared" si="5"/>
        <v>23.076923076923066</v>
      </c>
      <c r="D57" s="237"/>
      <c r="E57" s="237"/>
      <c r="F57" s="237"/>
      <c r="G57" s="237">
        <f t="shared" si="2"/>
        <v>0.81629787689085187</v>
      </c>
      <c r="H57" s="237">
        <f t="shared" si="1"/>
        <v>0</v>
      </c>
      <c r="I57" s="237"/>
      <c r="J57" s="263"/>
      <c r="K57" s="451">
        <f t="shared" si="7"/>
        <v>23.076923076923077</v>
      </c>
      <c r="L57" s="451">
        <f t="shared" si="8"/>
        <v>1.3846153846153841</v>
      </c>
      <c r="M57" s="451">
        <f t="shared" si="6"/>
        <v>49.656923076923057</v>
      </c>
      <c r="N57" s="237"/>
      <c r="O57" s="237"/>
    </row>
    <row r="58" spans="1:16">
      <c r="A58" s="231" t="s">
        <v>28</v>
      </c>
      <c r="B58" s="235">
        <v>46</v>
      </c>
      <c r="C58" s="243">
        <f t="shared" si="5"/>
        <v>23.076923076923066</v>
      </c>
      <c r="D58" s="237"/>
      <c r="E58" s="237"/>
      <c r="F58" s="237"/>
      <c r="G58" s="237">
        <f t="shared" si="2"/>
        <v>0.87343872827321156</v>
      </c>
      <c r="H58" s="237">
        <f t="shared" si="1"/>
        <v>0</v>
      </c>
      <c r="I58" s="237"/>
      <c r="J58" s="263"/>
      <c r="K58" s="451">
        <f t="shared" si="7"/>
        <v>23.076923076923077</v>
      </c>
      <c r="L58" s="451">
        <f t="shared" si="8"/>
        <v>1.3846153846153841</v>
      </c>
      <c r="M58" s="451">
        <f t="shared" si="6"/>
        <v>51.369230769230747</v>
      </c>
      <c r="N58" s="237"/>
      <c r="O58" s="237"/>
    </row>
    <row r="59" spans="1:16">
      <c r="A59" s="251" t="s">
        <v>27</v>
      </c>
      <c r="B59" s="252">
        <v>47</v>
      </c>
      <c r="C59" s="269">
        <f t="shared" si="5"/>
        <v>23.076923076923066</v>
      </c>
      <c r="D59" s="270"/>
      <c r="E59" s="270"/>
      <c r="F59" s="270"/>
      <c r="G59" s="256">
        <f t="shared" si="2"/>
        <v>0.93457943925233644</v>
      </c>
      <c r="H59" s="256">
        <f t="shared" si="1"/>
        <v>0</v>
      </c>
      <c r="I59" s="525" t="s">
        <v>79</v>
      </c>
      <c r="J59" s="271"/>
      <c r="K59" s="451">
        <f t="shared" si="7"/>
        <v>23.076923076923077</v>
      </c>
      <c r="L59" s="451">
        <f t="shared" si="8"/>
        <v>1.3846153846153841</v>
      </c>
      <c r="M59" s="452">
        <f t="shared" si="6"/>
        <v>53.081538461538436</v>
      </c>
      <c r="N59" s="237"/>
      <c r="O59" s="237"/>
    </row>
    <row r="60" spans="1:16">
      <c r="A60" s="231" t="s">
        <v>26</v>
      </c>
      <c r="B60" s="235">
        <v>48</v>
      </c>
      <c r="C60" s="243"/>
      <c r="D60" s="237"/>
      <c r="E60" s="237"/>
      <c r="F60" s="237"/>
      <c r="G60" s="237">
        <f t="shared" si="2"/>
        <v>1</v>
      </c>
      <c r="H60" s="237"/>
      <c r="I60" s="525"/>
      <c r="J60" s="263"/>
      <c r="K60" s="254"/>
      <c r="L60" s="242"/>
      <c r="M60" s="242"/>
      <c r="N60" s="237"/>
      <c r="O60" s="237"/>
    </row>
    <row r="61" spans="1:16">
      <c r="C61" s="237"/>
      <c r="D61" s="237"/>
      <c r="E61" s="237"/>
      <c r="F61" s="237"/>
      <c r="G61" s="237"/>
      <c r="H61" s="237"/>
      <c r="I61" s="237"/>
      <c r="J61" s="237"/>
      <c r="K61" s="254"/>
      <c r="L61" s="242"/>
      <c r="M61" s="242"/>
      <c r="N61" s="237"/>
      <c r="O61" s="237"/>
    </row>
    <row r="62" spans="1:16">
      <c r="C62" s="237"/>
      <c r="D62" s="237"/>
      <c r="E62" s="237"/>
      <c r="F62" s="237"/>
      <c r="G62" s="237" t="s">
        <v>65</v>
      </c>
      <c r="H62" s="242">
        <f>SUM(H13:H59)</f>
        <v>1381.5548218760016</v>
      </c>
      <c r="I62" s="237"/>
      <c r="J62" s="237"/>
      <c r="K62" s="242"/>
      <c r="L62" s="242"/>
      <c r="M62" s="242"/>
      <c r="N62" s="237"/>
      <c r="O62" s="237"/>
    </row>
    <row r="63" spans="1:16">
      <c r="C63" s="237"/>
      <c r="D63" s="237"/>
      <c r="E63" s="237"/>
      <c r="F63" s="237"/>
      <c r="G63" s="237"/>
      <c r="H63" s="237"/>
      <c r="I63" s="237"/>
      <c r="J63" s="237"/>
      <c r="K63" s="242"/>
      <c r="L63" s="242"/>
      <c r="M63" s="242"/>
      <c r="N63" s="237"/>
      <c r="O63" s="237"/>
    </row>
    <row r="64" spans="1:16">
      <c r="C64" s="237"/>
      <c r="D64" s="237"/>
      <c r="E64" s="237"/>
      <c r="F64" s="439"/>
      <c r="G64" s="440" t="s">
        <v>191</v>
      </c>
      <c r="H64" s="439">
        <f>100*1.07^48-H62</f>
        <v>1191.3358291041129</v>
      </c>
      <c r="I64" s="237"/>
      <c r="J64" s="237"/>
      <c r="K64" s="242"/>
      <c r="L64" s="242"/>
      <c r="M64" s="242"/>
      <c r="N64" s="237"/>
      <c r="O64" s="237"/>
    </row>
    <row r="65" spans="1:15">
      <c r="C65" s="237"/>
      <c r="D65" s="237"/>
      <c r="E65" s="237"/>
      <c r="F65" s="237"/>
      <c r="G65" s="237"/>
      <c r="H65" s="237"/>
      <c r="I65" s="237"/>
      <c r="J65" s="237"/>
      <c r="K65" s="242"/>
      <c r="L65" s="242"/>
      <c r="M65" s="242"/>
      <c r="N65" s="237"/>
      <c r="O65" s="237"/>
    </row>
    <row r="67" spans="1:15" s="45" customFormat="1">
      <c r="A67" s="291" t="s">
        <v>141</v>
      </c>
      <c r="B67" s="291" t="s">
        <v>196</v>
      </c>
      <c r="C67" s="293"/>
      <c r="D67" s="293"/>
      <c r="E67" s="298"/>
      <c r="F67" s="298"/>
      <c r="G67" s="299"/>
      <c r="H67" s="300"/>
      <c r="I67" s="294"/>
      <c r="J67" s="294"/>
      <c r="K67" s="294"/>
      <c r="L67" s="419"/>
      <c r="M67" s="419"/>
      <c r="N67" s="419"/>
    </row>
    <row r="68" spans="1:15" s="141" customFormat="1" ht="25.7" customHeight="1">
      <c r="A68" s="145"/>
      <c r="B68" s="144"/>
      <c r="C68" s="93"/>
      <c r="D68" s="143"/>
      <c r="E68" s="51"/>
      <c r="F68" s="51"/>
      <c r="G68" s="64" t="s">
        <v>180</v>
      </c>
      <c r="H68" s="116">
        <f>'Example 2_step 0'!H35*(1+G5)^B60</f>
        <v>995.38502447923634</v>
      </c>
      <c r="K68" s="66"/>
      <c r="L68" s="441"/>
      <c r="M68" s="441"/>
      <c r="N68" s="442"/>
    </row>
    <row r="69" spans="1:15" s="141" customFormat="1" ht="25.7" customHeight="1">
      <c r="A69" s="145"/>
      <c r="B69" s="144"/>
      <c r="C69" s="93"/>
      <c r="D69" s="143"/>
      <c r="E69" s="51"/>
      <c r="F69" s="51"/>
      <c r="G69" s="64" t="s">
        <v>192</v>
      </c>
      <c r="H69" s="116">
        <f>M59</f>
        <v>53.081538461538436</v>
      </c>
      <c r="K69" s="66"/>
      <c r="L69" s="441"/>
      <c r="M69" s="441"/>
      <c r="N69" s="442"/>
    </row>
    <row r="70" spans="1:15" s="66" customFormat="1" ht="21" customHeight="1">
      <c r="C70" s="49"/>
      <c r="D70" s="49"/>
      <c r="E70" s="55"/>
      <c r="F70" s="365"/>
      <c r="G70" s="362" t="s">
        <v>181</v>
      </c>
      <c r="H70" s="363">
        <f>H64-H68+H69</f>
        <v>249.03234308641501</v>
      </c>
      <c r="I70" s="114"/>
      <c r="L70" s="443"/>
      <c r="M70" s="441"/>
      <c r="N70" s="444"/>
    </row>
    <row r="71" spans="1:15" s="66" customFormat="1">
      <c r="F71" s="120"/>
    </row>
    <row r="72" spans="1:15" s="66" customFormat="1">
      <c r="F72" s="120"/>
    </row>
    <row r="73" spans="1:15" s="66" customFormat="1">
      <c r="F73" s="51"/>
      <c r="H73" s="139"/>
    </row>
    <row r="74" spans="1:15" s="45" customFormat="1" ht="15.75" customHeight="1">
      <c r="A74" s="291" t="s">
        <v>152</v>
      </c>
      <c r="B74" s="291" t="s">
        <v>197</v>
      </c>
      <c r="C74" s="293"/>
      <c r="D74" s="293"/>
      <c r="E74" s="298"/>
      <c r="F74" s="298"/>
      <c r="G74" s="299"/>
      <c r="H74" s="300"/>
      <c r="I74" s="294"/>
      <c r="J74" s="294"/>
      <c r="K74" s="294"/>
      <c r="L74" s="294"/>
      <c r="M74" s="294"/>
      <c r="N74" s="294"/>
    </row>
    <row r="75" spans="1:15" s="45" customFormat="1">
      <c r="A75" s="47"/>
      <c r="C75" s="46"/>
      <c r="D75" s="46"/>
      <c r="I75" s="2"/>
    </row>
    <row r="76" spans="1:15" s="45" customFormat="1">
      <c r="A76" s="311" t="s">
        <v>0</v>
      </c>
      <c r="B76" s="56">
        <f>B5</f>
        <v>100</v>
      </c>
      <c r="C76" s="46"/>
      <c r="D76" s="46"/>
      <c r="I76" s="2"/>
    </row>
    <row r="77" spans="1:15" s="45" customFormat="1">
      <c r="A77" s="311" t="s">
        <v>145</v>
      </c>
      <c r="B77" s="56">
        <f>B5-SUM(D13:D27)</f>
        <v>23.07692307692308</v>
      </c>
      <c r="C77" s="445" t="s">
        <v>193</v>
      </c>
      <c r="D77" s="46"/>
      <c r="I77" s="2"/>
    </row>
    <row r="78" spans="1:15" s="45" customFormat="1" ht="28.7" customHeight="1">
      <c r="A78" s="307" t="s">
        <v>146</v>
      </c>
      <c r="B78" s="56">
        <f>H70</f>
        <v>249.03234308641501</v>
      </c>
      <c r="C78" s="46"/>
      <c r="D78" s="46"/>
      <c r="I78" s="2"/>
    </row>
    <row r="79" spans="1:15" s="45" customFormat="1">
      <c r="A79" s="289" t="s">
        <v>147</v>
      </c>
      <c r="B79" s="56">
        <f>B77+B78</f>
        <v>272.10926616333808</v>
      </c>
      <c r="C79" s="46"/>
      <c r="D79" s="46"/>
      <c r="I79" s="2"/>
    </row>
    <row r="80" spans="1:15" s="45" customFormat="1" ht="38.25">
      <c r="A80" s="366" t="s">
        <v>144</v>
      </c>
      <c r="B80" s="388">
        <f>IF((B77+B78)&lt;=B76,B78,B76-B77)</f>
        <v>76.92307692307692</v>
      </c>
      <c r="C80" s="46"/>
      <c r="D80" s="46"/>
      <c r="I80" s="2"/>
    </row>
    <row r="81" spans="1:14" s="1" customFormat="1">
      <c r="A81" s="44"/>
      <c r="C81" s="43"/>
      <c r="D81" s="43"/>
      <c r="K81" s="45"/>
      <c r="L81" s="45"/>
      <c r="M81" s="45"/>
      <c r="N81" s="45"/>
    </row>
    <row r="82" spans="1:14" s="1" customFormat="1">
      <c r="A82" s="44"/>
      <c r="C82" s="43"/>
      <c r="D82" s="43"/>
      <c r="K82" s="45"/>
      <c r="L82" s="45"/>
      <c r="M82" s="45"/>
      <c r="N82" s="45"/>
    </row>
  </sheetData>
  <mergeCells count="5">
    <mergeCell ref="D9:F9"/>
    <mergeCell ref="K9:M9"/>
    <mergeCell ref="I18:I19"/>
    <mergeCell ref="I59:I60"/>
    <mergeCell ref="A1:N1"/>
  </mergeCells>
  <pageMargins left="0.18" right="0.17" top="0.4" bottom="0.39" header="0.25" footer="0.28999999999999998"/>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workbookViewId="0"/>
  </sheetViews>
  <sheetFormatPr defaultRowHeight="12.75"/>
  <cols>
    <col min="1" max="1" width="14.42578125" customWidth="1"/>
    <col min="7" max="7" width="18.42578125" customWidth="1"/>
    <col min="8" max="8" width="17.85546875" bestFit="1" customWidth="1"/>
    <col min="10" max="10" width="13.42578125" customWidth="1"/>
  </cols>
  <sheetData>
    <row r="1" spans="1:13" ht="36" customHeight="1">
      <c r="A1" s="431" t="s">
        <v>198</v>
      </c>
      <c r="B1" s="527" t="s">
        <v>199</v>
      </c>
      <c r="C1" s="527"/>
      <c r="D1" s="527"/>
      <c r="E1" s="527"/>
      <c r="F1" s="527"/>
      <c r="G1" s="527"/>
      <c r="H1" s="527"/>
      <c r="I1" s="527"/>
      <c r="J1" s="527"/>
      <c r="K1" s="527"/>
    </row>
    <row r="2" spans="1:13">
      <c r="A2" s="431"/>
      <c r="B2" s="433"/>
      <c r="C2" s="433"/>
      <c r="D2" s="433"/>
      <c r="E2" s="433"/>
      <c r="F2" s="433"/>
      <c r="G2" s="433"/>
      <c r="H2" s="433"/>
      <c r="I2" s="433"/>
      <c r="J2" s="433"/>
      <c r="K2" s="433"/>
    </row>
    <row r="3" spans="1:13" s="1" customFormat="1">
      <c r="A3" s="291" t="s">
        <v>149</v>
      </c>
      <c r="B3" s="292" t="s">
        <v>150</v>
      </c>
      <c r="C3" s="293"/>
      <c r="D3" s="293"/>
      <c r="E3" s="294"/>
      <c r="F3" s="294"/>
      <c r="G3" s="294"/>
      <c r="H3" s="294"/>
      <c r="I3" s="294"/>
      <c r="J3" s="294"/>
      <c r="K3" s="294"/>
    </row>
    <row r="4" spans="1:13" s="1" customFormat="1">
      <c r="A4" s="76"/>
      <c r="C4" s="43"/>
      <c r="D4" s="43"/>
    </row>
    <row r="5" spans="1:13" s="1" customFormat="1">
      <c r="A5" s="75" t="s">
        <v>75</v>
      </c>
      <c r="B5" s="73"/>
      <c r="C5" s="74"/>
      <c r="D5" s="74"/>
      <c r="E5" s="73"/>
      <c r="F5" s="73"/>
      <c r="G5" s="73"/>
      <c r="H5" s="73"/>
      <c r="J5" s="45"/>
    </row>
    <row r="6" spans="1:13" s="1" customFormat="1">
      <c r="A6" s="72" t="s">
        <v>63</v>
      </c>
      <c r="B6" s="71">
        <v>100</v>
      </c>
      <c r="C6" s="43"/>
      <c r="D6" s="43"/>
      <c r="G6" s="1" t="s">
        <v>62</v>
      </c>
      <c r="H6" s="41">
        <v>7.0000000000000007E-2</v>
      </c>
    </row>
    <row r="7" spans="1:13" s="45" customFormat="1">
      <c r="A7" s="70" t="s">
        <v>61</v>
      </c>
      <c r="B7" s="69">
        <v>0.02</v>
      </c>
      <c r="C7" s="46"/>
      <c r="D7" s="46"/>
      <c r="G7" s="66"/>
      <c r="H7" s="112"/>
      <c r="J7" s="1"/>
      <c r="K7" s="1"/>
      <c r="L7" s="1"/>
      <c r="M7" s="1"/>
    </row>
    <row r="8" spans="1:13" s="45" customFormat="1" ht="15" customHeight="1">
      <c r="A8" s="68" t="s">
        <v>60</v>
      </c>
      <c r="B8" s="67" t="s">
        <v>59</v>
      </c>
      <c r="C8" s="46"/>
      <c r="D8" s="46"/>
      <c r="J8" s="1"/>
      <c r="K8" s="1"/>
      <c r="L8" s="1"/>
      <c r="M8" s="1"/>
    </row>
    <row r="9" spans="1:13" s="45" customFormat="1" ht="15" customHeight="1">
      <c r="A9" s="65"/>
      <c r="B9" s="64"/>
      <c r="C9" s="46"/>
      <c r="D9" s="46"/>
      <c r="J9" s="1"/>
      <c r="K9" s="1"/>
      <c r="L9" s="1"/>
      <c r="M9" s="1"/>
    </row>
    <row r="10" spans="1:13" s="57" customFormat="1" ht="43.5" customHeight="1">
      <c r="A10" s="505" t="s">
        <v>185</v>
      </c>
      <c r="B10" s="505"/>
      <c r="C10" s="505"/>
      <c r="D10" s="505"/>
      <c r="E10" s="505"/>
      <c r="F10" s="505"/>
      <c r="G10" s="505" t="s">
        <v>110</v>
      </c>
      <c r="H10" s="505"/>
      <c r="I10" s="111"/>
      <c r="J10" s="505" t="s">
        <v>200</v>
      </c>
      <c r="K10" s="505"/>
      <c r="L10" s="1"/>
      <c r="M10" s="1"/>
    </row>
    <row r="11" spans="1:13" s="63" customFormat="1" ht="44.25" customHeight="1">
      <c r="A11" s="109" t="s">
        <v>57</v>
      </c>
      <c r="B11" s="106" t="s">
        <v>56</v>
      </c>
      <c r="C11" s="108" t="s">
        <v>55</v>
      </c>
      <c r="D11" s="108" t="s">
        <v>54</v>
      </c>
      <c r="E11" s="106" t="s">
        <v>53</v>
      </c>
      <c r="F11" s="106" t="s">
        <v>52</v>
      </c>
      <c r="G11" s="106" t="s">
        <v>111</v>
      </c>
      <c r="H11" s="106" t="s">
        <v>50</v>
      </c>
      <c r="I11" s="128"/>
      <c r="J11" s="106" t="s">
        <v>51</v>
      </c>
      <c r="K11" s="106" t="s">
        <v>50</v>
      </c>
      <c r="L11" s="81"/>
    </row>
    <row r="12" spans="1:13">
      <c r="A12" s="95"/>
      <c r="B12" s="2"/>
      <c r="C12" s="94"/>
      <c r="D12" s="94"/>
      <c r="E12" s="2"/>
      <c r="F12" s="2"/>
      <c r="G12" s="2"/>
      <c r="H12" s="2"/>
      <c r="I12" s="113"/>
      <c r="J12" s="2"/>
      <c r="K12" s="2"/>
      <c r="L12" s="1"/>
    </row>
    <row r="13" spans="1:13">
      <c r="A13" s="100" t="s">
        <v>74</v>
      </c>
      <c r="B13" s="2"/>
      <c r="C13" s="94"/>
      <c r="D13" s="94"/>
      <c r="E13" s="2"/>
      <c r="F13" s="2"/>
      <c r="G13" s="105"/>
      <c r="H13" s="2"/>
      <c r="I13" s="113"/>
      <c r="J13" s="105"/>
      <c r="K13" s="2"/>
      <c r="L13" s="1"/>
    </row>
    <row r="14" spans="1:13">
      <c r="A14" s="100" t="s">
        <v>73</v>
      </c>
      <c r="B14" s="101">
        <v>1</v>
      </c>
      <c r="C14" s="104">
        <v>100</v>
      </c>
      <c r="D14" s="104"/>
      <c r="E14" s="104">
        <f>C14*'Example 3_case 8'!$B$6</f>
        <v>2</v>
      </c>
      <c r="F14" s="104">
        <f t="shared" ref="F14:F31" si="0">D14+E14</f>
        <v>2</v>
      </c>
      <c r="G14" s="104">
        <f t="shared" ref="G14:G31" si="1">1.07^B14</f>
        <v>1.07</v>
      </c>
      <c r="H14" s="104">
        <f t="shared" ref="H14:H31" si="2">F14/G14</f>
        <v>1.8691588785046729</v>
      </c>
      <c r="I14" s="113"/>
      <c r="J14" s="103">
        <f t="shared" ref="J14:J31" si="3">1.09^B14</f>
        <v>1.0900000000000001</v>
      </c>
      <c r="K14" s="104">
        <f t="shared" ref="K14:K31" si="4">F14/J14</f>
        <v>1.8348623853211008</v>
      </c>
      <c r="L14" s="1"/>
    </row>
    <row r="15" spans="1:13">
      <c r="A15" s="100" t="s">
        <v>72</v>
      </c>
      <c r="B15" s="101">
        <v>2</v>
      </c>
      <c r="C15" s="104">
        <v>100</v>
      </c>
      <c r="D15" s="104"/>
      <c r="E15" s="104">
        <f>C15*'Example 3_case 8'!$B$6</f>
        <v>2</v>
      </c>
      <c r="F15" s="104">
        <f t="shared" si="0"/>
        <v>2</v>
      </c>
      <c r="G15" s="104">
        <f t="shared" si="1"/>
        <v>1.1449</v>
      </c>
      <c r="H15" s="104">
        <f t="shared" si="2"/>
        <v>1.7468774565464231</v>
      </c>
      <c r="I15" s="113"/>
      <c r="J15" s="103">
        <f t="shared" si="3"/>
        <v>1.1881000000000002</v>
      </c>
      <c r="K15" s="104">
        <f t="shared" si="4"/>
        <v>1.6833599865331199</v>
      </c>
      <c r="L15" s="1"/>
    </row>
    <row r="16" spans="1:13">
      <c r="A16" s="100" t="s">
        <v>71</v>
      </c>
      <c r="B16" s="101">
        <v>3</v>
      </c>
      <c r="C16" s="104">
        <v>100</v>
      </c>
      <c r="D16" s="104"/>
      <c r="E16" s="104">
        <f>C16*'Example 3_case 8'!$B$6</f>
        <v>2</v>
      </c>
      <c r="F16" s="104">
        <f t="shared" si="0"/>
        <v>2</v>
      </c>
      <c r="G16" s="104">
        <f t="shared" si="1"/>
        <v>1.2250430000000001</v>
      </c>
      <c r="H16" s="104">
        <f t="shared" si="2"/>
        <v>1.6325957537817037</v>
      </c>
      <c r="I16" s="113"/>
      <c r="J16" s="103">
        <f t="shared" si="3"/>
        <v>1.2950290000000002</v>
      </c>
      <c r="K16" s="104">
        <f t="shared" si="4"/>
        <v>1.5443669601221284</v>
      </c>
      <c r="L16" s="1"/>
    </row>
    <row r="17" spans="1:12">
      <c r="A17" s="100" t="s">
        <v>70</v>
      </c>
      <c r="B17" s="101">
        <v>4</v>
      </c>
      <c r="C17" s="104">
        <v>100</v>
      </c>
      <c r="D17" s="104"/>
      <c r="E17" s="104">
        <f>C17*'Example 3_case 8'!$B$6</f>
        <v>2</v>
      </c>
      <c r="F17" s="104">
        <f t="shared" si="0"/>
        <v>2</v>
      </c>
      <c r="G17" s="104">
        <f t="shared" si="1"/>
        <v>1.31079601</v>
      </c>
      <c r="H17" s="104">
        <f t="shared" si="2"/>
        <v>1.5257904240950504</v>
      </c>
      <c r="I17" s="113"/>
      <c r="J17" s="103">
        <f t="shared" si="3"/>
        <v>1.4115816100000003</v>
      </c>
      <c r="K17" s="104">
        <f t="shared" si="4"/>
        <v>1.4168504221303928</v>
      </c>
      <c r="L17" s="1"/>
    </row>
    <row r="18" spans="1:12">
      <c r="A18" s="100" t="s">
        <v>69</v>
      </c>
      <c r="B18" s="101">
        <v>5</v>
      </c>
      <c r="C18" s="104">
        <v>100</v>
      </c>
      <c r="D18" s="104"/>
      <c r="E18" s="104">
        <f>C18*'Example 3_case 8'!$B$6</f>
        <v>2</v>
      </c>
      <c r="F18" s="104">
        <f t="shared" si="0"/>
        <v>2</v>
      </c>
      <c r="G18" s="104">
        <f t="shared" si="1"/>
        <v>1.4025517307000002</v>
      </c>
      <c r="H18" s="104">
        <f t="shared" si="2"/>
        <v>1.4259723589673368</v>
      </c>
      <c r="I18" s="113"/>
      <c r="J18" s="103">
        <f t="shared" si="3"/>
        <v>1.5386239549000005</v>
      </c>
      <c r="K18" s="104">
        <f t="shared" si="4"/>
        <v>1.2998627725966905</v>
      </c>
      <c r="L18" s="1"/>
    </row>
    <row r="19" spans="1:12">
      <c r="A19" s="176" t="s">
        <v>68</v>
      </c>
      <c r="B19" s="175">
        <v>6</v>
      </c>
      <c r="C19" s="102">
        <v>100</v>
      </c>
      <c r="D19" s="102">
        <f t="shared" ref="D19:D31" si="5">100/13</f>
        <v>7.6923076923076925</v>
      </c>
      <c r="E19" s="102">
        <f>C19*'Example 3_case 8'!$B$6</f>
        <v>2</v>
      </c>
      <c r="F19" s="102">
        <f t="shared" si="0"/>
        <v>9.6923076923076934</v>
      </c>
      <c r="G19" s="102">
        <f t="shared" si="1"/>
        <v>1.5007303518490001</v>
      </c>
      <c r="H19" s="102">
        <f t="shared" si="2"/>
        <v>6.4583938616061989</v>
      </c>
      <c r="I19" s="113"/>
      <c r="J19" s="103">
        <f t="shared" si="3"/>
        <v>1.6771001108410006</v>
      </c>
      <c r="K19" s="104">
        <f t="shared" si="4"/>
        <v>5.7792063989831695</v>
      </c>
      <c r="L19" s="1"/>
    </row>
    <row r="20" spans="1:12">
      <c r="A20" s="176" t="s">
        <v>49</v>
      </c>
      <c r="B20" s="175">
        <v>7</v>
      </c>
      <c r="C20" s="102">
        <f t="shared" ref="C20:C31" si="6">C19-D19</f>
        <v>92.307692307692307</v>
      </c>
      <c r="D20" s="104">
        <f t="shared" si="5"/>
        <v>7.6923076923076925</v>
      </c>
      <c r="E20" s="102">
        <f>C20*'Example 3_case 8'!$B$6</f>
        <v>1.8461538461538463</v>
      </c>
      <c r="F20" s="102">
        <f t="shared" si="0"/>
        <v>9.5384615384615383</v>
      </c>
      <c r="G20" s="104">
        <f t="shared" si="1"/>
        <v>1.6057814764784302</v>
      </c>
      <c r="H20" s="102">
        <f t="shared" si="2"/>
        <v>5.9400744610530225</v>
      </c>
      <c r="I20" s="113"/>
      <c r="J20" s="103">
        <f t="shared" si="3"/>
        <v>1.8280391208166906</v>
      </c>
      <c r="K20" s="104">
        <f t="shared" si="4"/>
        <v>5.2178651046593343</v>
      </c>
      <c r="L20" s="1"/>
    </row>
    <row r="21" spans="1:12">
      <c r="A21" s="100" t="s">
        <v>48</v>
      </c>
      <c r="B21" s="101">
        <v>8</v>
      </c>
      <c r="C21" s="102">
        <f t="shared" si="6"/>
        <v>84.615384615384613</v>
      </c>
      <c r="D21" s="104">
        <f t="shared" si="5"/>
        <v>7.6923076923076925</v>
      </c>
      <c r="E21" s="104">
        <f>C21*'Example 3_case 8'!$B$6</f>
        <v>1.6923076923076923</v>
      </c>
      <c r="F21" s="104">
        <f t="shared" si="0"/>
        <v>9.384615384615385</v>
      </c>
      <c r="G21" s="104">
        <f t="shared" si="1"/>
        <v>1.7181861798319202</v>
      </c>
      <c r="H21" s="104">
        <f t="shared" si="2"/>
        <v>5.4619315966872843</v>
      </c>
      <c r="I21" s="113"/>
      <c r="J21" s="103">
        <f t="shared" si="3"/>
        <v>1.9925626416901929</v>
      </c>
      <c r="K21" s="104">
        <f t="shared" si="4"/>
        <v>4.7098220092367473</v>
      </c>
      <c r="L21" s="1"/>
    </row>
    <row r="22" spans="1:12">
      <c r="A22" s="100" t="s">
        <v>47</v>
      </c>
      <c r="B22" s="101">
        <v>9</v>
      </c>
      <c r="C22" s="102">
        <f t="shared" si="6"/>
        <v>76.92307692307692</v>
      </c>
      <c r="D22" s="104">
        <f t="shared" si="5"/>
        <v>7.6923076923076925</v>
      </c>
      <c r="E22" s="104">
        <f>C22*'Example 3_case 8'!$B$6</f>
        <v>1.5384615384615383</v>
      </c>
      <c r="F22" s="104">
        <f t="shared" si="0"/>
        <v>9.2307692307692299</v>
      </c>
      <c r="G22" s="104">
        <f t="shared" si="1"/>
        <v>1.8384592124201549</v>
      </c>
      <c r="H22" s="104">
        <f t="shared" si="2"/>
        <v>5.0209268546229042</v>
      </c>
      <c r="I22" s="113"/>
      <c r="J22" s="103">
        <f t="shared" si="3"/>
        <v>2.1718932794423105</v>
      </c>
      <c r="K22" s="104">
        <f t="shared" si="4"/>
        <v>4.2501025801504699</v>
      </c>
      <c r="L22" s="1"/>
    </row>
    <row r="23" spans="1:12">
      <c r="A23" s="100" t="s">
        <v>46</v>
      </c>
      <c r="B23" s="101">
        <v>10</v>
      </c>
      <c r="C23" s="102">
        <f t="shared" si="6"/>
        <v>69.230769230769226</v>
      </c>
      <c r="D23" s="104">
        <f t="shared" si="5"/>
        <v>7.6923076923076925</v>
      </c>
      <c r="E23" s="104">
        <f>C23*'Example 3_case 8'!$B$6</f>
        <v>1.3846153846153846</v>
      </c>
      <c r="F23" s="104">
        <f t="shared" si="0"/>
        <v>9.0769230769230766</v>
      </c>
      <c r="G23" s="104">
        <f t="shared" si="1"/>
        <v>1.9671513572895656</v>
      </c>
      <c r="H23" s="104">
        <f t="shared" si="2"/>
        <v>4.614247420915131</v>
      </c>
      <c r="I23" s="113"/>
      <c r="J23" s="103">
        <f t="shared" si="3"/>
        <v>2.3673636745921187</v>
      </c>
      <c r="K23" s="104">
        <f t="shared" si="4"/>
        <v>3.8341904010531764</v>
      </c>
      <c r="L23" s="1"/>
    </row>
    <row r="24" spans="1:12">
      <c r="A24" s="100" t="s">
        <v>45</v>
      </c>
      <c r="B24" s="101">
        <v>11</v>
      </c>
      <c r="C24" s="102">
        <f t="shared" si="6"/>
        <v>61.538461538461533</v>
      </c>
      <c r="D24" s="104">
        <f t="shared" si="5"/>
        <v>7.6923076923076925</v>
      </c>
      <c r="E24" s="104">
        <f>C24*'Example 3_case 8'!$B$6</f>
        <v>1.2307692307692306</v>
      </c>
      <c r="F24" s="104">
        <f t="shared" si="0"/>
        <v>8.9230769230769234</v>
      </c>
      <c r="G24" s="104">
        <f t="shared" si="1"/>
        <v>2.1048519522998355</v>
      </c>
      <c r="H24" s="104">
        <f t="shared" si="2"/>
        <v>4.239289567766158</v>
      </c>
      <c r="I24" s="113"/>
      <c r="J24" s="103">
        <f t="shared" si="3"/>
        <v>2.5804264053054093</v>
      </c>
      <c r="K24" s="104">
        <f t="shared" si="4"/>
        <v>3.4579854340084628</v>
      </c>
      <c r="L24" s="1"/>
    </row>
    <row r="25" spans="1:12">
      <c r="A25" s="100" t="s">
        <v>44</v>
      </c>
      <c r="B25" s="101">
        <v>12</v>
      </c>
      <c r="C25" s="102">
        <f t="shared" si="6"/>
        <v>53.84615384615384</v>
      </c>
      <c r="D25" s="104">
        <f t="shared" si="5"/>
        <v>7.6923076923076925</v>
      </c>
      <c r="E25" s="104">
        <f>C25*'Example 3_case 8'!$B$6</f>
        <v>1.0769230769230769</v>
      </c>
      <c r="F25" s="104">
        <f t="shared" si="0"/>
        <v>8.7692307692307701</v>
      </c>
      <c r="G25" s="104">
        <f t="shared" si="1"/>
        <v>2.2521915889608235</v>
      </c>
      <c r="H25" s="104">
        <f t="shared" si="2"/>
        <v>3.8936433348802946</v>
      </c>
      <c r="I25" s="113"/>
      <c r="J25" s="103">
        <f t="shared" si="3"/>
        <v>2.812664781782896</v>
      </c>
      <c r="K25" s="104">
        <f t="shared" si="4"/>
        <v>3.117766050909244</v>
      </c>
      <c r="L25" s="1"/>
    </row>
    <row r="26" spans="1:12">
      <c r="A26" s="100" t="s">
        <v>43</v>
      </c>
      <c r="B26" s="101">
        <v>13</v>
      </c>
      <c r="C26" s="102">
        <f t="shared" si="6"/>
        <v>46.153846153846146</v>
      </c>
      <c r="D26" s="104">
        <f t="shared" si="5"/>
        <v>7.6923076923076925</v>
      </c>
      <c r="E26" s="104">
        <f>C26*'Example 3_case 8'!$B$6</f>
        <v>0.92307692307692291</v>
      </c>
      <c r="F26" s="104">
        <f t="shared" si="0"/>
        <v>8.615384615384615</v>
      </c>
      <c r="G26" s="104">
        <f t="shared" si="1"/>
        <v>2.4098450001880813</v>
      </c>
      <c r="H26" s="104">
        <f t="shared" si="2"/>
        <v>3.5750783202704777</v>
      </c>
      <c r="I26" s="113"/>
      <c r="J26" s="103">
        <f t="shared" si="3"/>
        <v>3.0658046121433573</v>
      </c>
      <c r="K26" s="104">
        <f t="shared" si="4"/>
        <v>2.8101544962323772</v>
      </c>
      <c r="L26" s="1"/>
    </row>
    <row r="27" spans="1:12">
      <c r="A27" s="100" t="s">
        <v>42</v>
      </c>
      <c r="B27" s="101">
        <v>14</v>
      </c>
      <c r="C27" s="102">
        <f t="shared" si="6"/>
        <v>38.461538461538453</v>
      </c>
      <c r="D27" s="104">
        <f t="shared" si="5"/>
        <v>7.6923076923076925</v>
      </c>
      <c r="E27" s="104">
        <f>C27*'Example 3_case 8'!$B$6</f>
        <v>0.76923076923076905</v>
      </c>
      <c r="F27" s="104">
        <f t="shared" si="0"/>
        <v>8.4615384615384617</v>
      </c>
      <c r="G27" s="104">
        <f t="shared" si="1"/>
        <v>2.5785341502012469</v>
      </c>
      <c r="H27" s="104">
        <f t="shared" si="2"/>
        <v>3.2815305009158262</v>
      </c>
      <c r="I27" s="113"/>
      <c r="J27" s="103">
        <f t="shared" si="3"/>
        <v>3.3417270272362596</v>
      </c>
      <c r="K27" s="104">
        <f t="shared" si="4"/>
        <v>2.5320854733417555</v>
      </c>
      <c r="L27" s="1"/>
    </row>
    <row r="28" spans="1:12">
      <c r="A28" s="100" t="s">
        <v>41</v>
      </c>
      <c r="B28" s="101">
        <v>15</v>
      </c>
      <c r="C28" s="102">
        <f t="shared" si="6"/>
        <v>30.769230769230759</v>
      </c>
      <c r="D28" s="104">
        <f t="shared" si="5"/>
        <v>7.6923076923076925</v>
      </c>
      <c r="E28" s="104">
        <f>C28*'Example 3_case 8'!$B$6</f>
        <v>0.6153846153846152</v>
      </c>
      <c r="F28" s="104">
        <f t="shared" si="0"/>
        <v>8.3076923076923084</v>
      </c>
      <c r="G28" s="104">
        <f t="shared" si="1"/>
        <v>2.7590315407153345</v>
      </c>
      <c r="H28" s="104">
        <f t="shared" si="2"/>
        <v>3.0110900093365269</v>
      </c>
      <c r="I28" s="113"/>
      <c r="J28" s="103">
        <f t="shared" si="3"/>
        <v>3.6424824596875229</v>
      </c>
      <c r="K28" s="104">
        <f t="shared" si="4"/>
        <v>2.2807775739859015</v>
      </c>
      <c r="L28" s="1"/>
    </row>
    <row r="29" spans="1:12">
      <c r="A29" s="100" t="s">
        <v>40</v>
      </c>
      <c r="B29" s="101">
        <v>16</v>
      </c>
      <c r="C29" s="102">
        <f t="shared" si="6"/>
        <v>23.076923076923066</v>
      </c>
      <c r="D29" s="104">
        <f t="shared" si="5"/>
        <v>7.6923076923076925</v>
      </c>
      <c r="E29" s="104">
        <f>C29*'Example 3_case 8'!$B$6</f>
        <v>0.46153846153846134</v>
      </c>
      <c r="F29" s="104">
        <f t="shared" si="0"/>
        <v>8.1538461538461533</v>
      </c>
      <c r="G29" s="104">
        <f t="shared" si="1"/>
        <v>2.9521637485654075</v>
      </c>
      <c r="H29" s="104">
        <f t="shared" si="2"/>
        <v>2.7619897974184133</v>
      </c>
      <c r="I29" s="113"/>
      <c r="J29" s="103">
        <f t="shared" si="3"/>
        <v>3.9703058810594003</v>
      </c>
      <c r="K29" s="104">
        <f t="shared" si="4"/>
        <v>2.0537072956380014</v>
      </c>
      <c r="L29" s="1"/>
    </row>
    <row r="30" spans="1:12">
      <c r="A30" s="100" t="s">
        <v>39</v>
      </c>
      <c r="B30" s="101">
        <v>17</v>
      </c>
      <c r="C30" s="102">
        <f t="shared" si="6"/>
        <v>15.384615384615373</v>
      </c>
      <c r="D30" s="104">
        <f t="shared" si="5"/>
        <v>7.6923076923076925</v>
      </c>
      <c r="E30" s="104">
        <f>C30*'Example 3_case 8'!$B$6</f>
        <v>0.30769230769230743</v>
      </c>
      <c r="F30" s="104">
        <f t="shared" si="0"/>
        <v>8</v>
      </c>
      <c r="G30" s="104">
        <f t="shared" si="1"/>
        <v>3.1588152109649861</v>
      </c>
      <c r="H30" s="104">
        <f t="shared" si="2"/>
        <v>2.5325951237128814</v>
      </c>
      <c r="I30" s="113"/>
      <c r="J30" s="103">
        <f t="shared" si="3"/>
        <v>4.3276334103547462</v>
      </c>
      <c r="K30" s="104">
        <f t="shared" si="4"/>
        <v>1.8485854141107163</v>
      </c>
      <c r="L30" s="1"/>
    </row>
    <row r="31" spans="1:12">
      <c r="A31" s="100" t="s">
        <v>38</v>
      </c>
      <c r="B31" s="101">
        <v>18</v>
      </c>
      <c r="C31" s="102">
        <f t="shared" si="6"/>
        <v>7.6923076923076801</v>
      </c>
      <c r="D31" s="104">
        <f t="shared" si="5"/>
        <v>7.6923076923076925</v>
      </c>
      <c r="E31" s="104">
        <f>C31*'Example 3_case 8'!$B$6</f>
        <v>0.1538461538461536</v>
      </c>
      <c r="F31" s="104">
        <f t="shared" si="0"/>
        <v>7.8461538461538458</v>
      </c>
      <c r="G31" s="104">
        <f t="shared" si="1"/>
        <v>3.3799322757325352</v>
      </c>
      <c r="H31" s="104">
        <f t="shared" si="2"/>
        <v>2.3213938049848477</v>
      </c>
      <c r="I31" s="113"/>
      <c r="J31" s="103">
        <f t="shared" si="3"/>
        <v>4.7171204172866741</v>
      </c>
      <c r="K31" s="104">
        <f t="shared" si="4"/>
        <v>1.6633354996409053</v>
      </c>
      <c r="L31" s="1"/>
    </row>
    <row r="32" spans="1:12">
      <c r="A32" s="1"/>
      <c r="B32" s="1"/>
      <c r="C32" s="284"/>
      <c r="D32" s="161"/>
      <c r="E32" s="161"/>
      <c r="F32" s="161"/>
      <c r="G32" s="161"/>
      <c r="H32" s="161"/>
      <c r="I32" s="113"/>
      <c r="J32" s="1"/>
      <c r="K32" s="1"/>
      <c r="L32" s="1"/>
    </row>
    <row r="33" spans="1:12">
      <c r="A33" s="1"/>
      <c r="B33" s="1"/>
      <c r="C33" s="161"/>
      <c r="D33" s="161"/>
      <c r="E33" s="161"/>
      <c r="F33" s="161"/>
      <c r="G33" s="435" t="s">
        <v>109</v>
      </c>
      <c r="H33" s="436">
        <f>SUM(H14:H31)</f>
        <v>61.312579526065157</v>
      </c>
      <c r="I33" s="113"/>
      <c r="J33" s="134" t="s">
        <v>109</v>
      </c>
      <c r="K33" s="117">
        <f>SUM(K14:K31)</f>
        <v>51.334886258653704</v>
      </c>
      <c r="L33" s="1"/>
    </row>
    <row r="34" spans="1:12">
      <c r="A34" s="1"/>
      <c r="B34" s="1"/>
      <c r="C34" s="1"/>
      <c r="D34" s="1"/>
      <c r="E34" s="1"/>
      <c r="F34" s="1"/>
      <c r="G34" s="435" t="s">
        <v>66</v>
      </c>
      <c r="H34" s="446">
        <f>$B$6-H33</f>
        <v>38.687420473934843</v>
      </c>
      <c r="I34" s="1"/>
      <c r="J34" s="1"/>
      <c r="K34" s="446">
        <f>$B$6-K33</f>
        <v>48.665113741346296</v>
      </c>
      <c r="L34" s="1"/>
    </row>
    <row r="35" spans="1:12">
      <c r="A35" s="1"/>
      <c r="B35" s="1"/>
      <c r="C35" s="1"/>
      <c r="D35" s="1"/>
      <c r="E35" s="1"/>
      <c r="F35" s="1"/>
      <c r="I35" s="1"/>
      <c r="J35" s="1"/>
      <c r="K35" s="1"/>
      <c r="L35" s="1"/>
    </row>
    <row r="36" spans="1:12">
      <c r="A36" s="1"/>
      <c r="B36" s="1"/>
      <c r="C36" s="1"/>
      <c r="D36" s="1"/>
      <c r="E36" s="1"/>
      <c r="F36" s="1"/>
      <c r="G36" s="437" t="s">
        <v>184</v>
      </c>
      <c r="H36" s="438">
        <f>H34/$B$6</f>
        <v>0.38687420473934842</v>
      </c>
      <c r="I36" s="1"/>
      <c r="J36" s="161"/>
      <c r="K36" s="438">
        <f>K34/$B$6</f>
        <v>0.48665113741346294</v>
      </c>
      <c r="L36" s="1"/>
    </row>
    <row r="37" spans="1:12">
      <c r="A37" s="1"/>
      <c r="B37" s="1"/>
      <c r="C37" s="1"/>
      <c r="D37" s="1"/>
      <c r="E37" s="1"/>
      <c r="F37" s="1"/>
      <c r="G37" s="1"/>
      <c r="H37" s="1"/>
      <c r="I37" s="1"/>
      <c r="J37" s="1"/>
      <c r="K37" s="1"/>
      <c r="L37" s="1"/>
    </row>
  </sheetData>
  <mergeCells count="4">
    <mergeCell ref="B1:K1"/>
    <mergeCell ref="J10:K10"/>
    <mergeCell ref="A10:F10"/>
    <mergeCell ref="G10:H1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N49"/>
  <sheetViews>
    <sheetView zoomScaleNormal="100" workbookViewId="0">
      <selection sqref="A1:N1"/>
    </sheetView>
  </sheetViews>
  <sheetFormatPr defaultColWidth="9.140625" defaultRowHeight="12.75"/>
  <cols>
    <col min="1" max="1" width="28.42578125" style="44" customWidth="1"/>
    <col min="2" max="2" width="10.85546875" style="1" customWidth="1"/>
    <col min="3" max="3" width="11.85546875" style="43" customWidth="1"/>
    <col min="4" max="4" width="8.85546875" style="43" customWidth="1"/>
    <col min="5" max="5" width="7.85546875" style="1" customWidth="1"/>
    <col min="6" max="6" width="11.85546875" style="1" customWidth="1"/>
    <col min="7" max="7" width="13.140625" style="1" customWidth="1"/>
    <col min="8" max="8" width="15" style="1" customWidth="1"/>
    <col min="9" max="9" width="10.5703125" style="1" customWidth="1"/>
    <col min="10" max="10" width="1.85546875" style="1" customWidth="1"/>
    <col min="11" max="12" width="10.140625" style="45" customWidth="1"/>
    <col min="13" max="13" width="12.42578125" style="45" customWidth="1"/>
    <col min="14" max="16384" width="9.140625" style="1"/>
  </cols>
  <sheetData>
    <row r="1" spans="1:14" s="188" customFormat="1" ht="50.45" customHeight="1">
      <c r="A1" s="530" t="s">
        <v>203</v>
      </c>
      <c r="B1" s="530"/>
      <c r="C1" s="530"/>
      <c r="D1" s="530"/>
      <c r="E1" s="530"/>
      <c r="F1" s="530"/>
      <c r="G1" s="530"/>
      <c r="H1" s="530"/>
      <c r="I1" s="530"/>
      <c r="J1" s="530"/>
      <c r="K1" s="530"/>
      <c r="L1" s="530"/>
      <c r="M1" s="530"/>
      <c r="N1" s="530"/>
    </row>
    <row r="2" spans="1:14">
      <c r="A2" s="291" t="s">
        <v>140</v>
      </c>
      <c r="B2" s="292" t="s">
        <v>151</v>
      </c>
      <c r="C2" s="293"/>
      <c r="D2" s="293"/>
      <c r="E2" s="294"/>
      <c r="F2" s="294"/>
      <c r="G2" s="294"/>
      <c r="H2" s="294"/>
      <c r="I2" s="294"/>
      <c r="J2" s="294"/>
      <c r="K2" s="294"/>
      <c r="L2" s="294"/>
      <c r="M2" s="294"/>
      <c r="N2" s="294"/>
    </row>
    <row r="3" spans="1:14">
      <c r="A3" s="76"/>
    </row>
    <row r="4" spans="1:14">
      <c r="A4" s="75" t="s">
        <v>64</v>
      </c>
      <c r="B4" s="73"/>
      <c r="C4" s="74"/>
      <c r="D4" s="74"/>
      <c r="E4" s="73"/>
      <c r="F4" s="73"/>
      <c r="G4" s="73"/>
      <c r="H4" s="73"/>
      <c r="I4" s="122"/>
      <c r="K4" s="51"/>
      <c r="L4" s="51"/>
      <c r="M4" s="51"/>
    </row>
    <row r="5" spans="1:14">
      <c r="A5" s="72" t="s">
        <v>63</v>
      </c>
      <c r="B5" s="71">
        <v>100</v>
      </c>
      <c r="F5" s="134" t="s">
        <v>62</v>
      </c>
      <c r="G5" s="134"/>
      <c r="H5" s="447">
        <v>0.09</v>
      </c>
      <c r="L5" s="112"/>
      <c r="M5" s="112"/>
    </row>
    <row r="6" spans="1:14" ht="12.75" customHeight="1">
      <c r="A6" s="72" t="s">
        <v>61</v>
      </c>
      <c r="B6" s="92">
        <v>0.02</v>
      </c>
      <c r="F6" s="134" t="s">
        <v>93</v>
      </c>
      <c r="G6" s="134"/>
      <c r="H6" s="447">
        <v>7.0000000000000007E-2</v>
      </c>
      <c r="L6" s="112"/>
      <c r="M6" s="112"/>
    </row>
    <row r="7" spans="1:14" ht="15" customHeight="1">
      <c r="A7" s="91" t="s">
        <v>60</v>
      </c>
      <c r="B7" s="90" t="s">
        <v>59</v>
      </c>
      <c r="F7" s="171"/>
      <c r="H7" s="46"/>
      <c r="L7" s="46"/>
      <c r="M7" s="46"/>
    </row>
    <row r="8" spans="1:14" ht="15" customHeight="1">
      <c r="A8" s="89"/>
      <c r="B8" s="88"/>
    </row>
    <row r="9" spans="1:14" s="85" customFormat="1">
      <c r="A9" s="87"/>
      <c r="C9" s="86"/>
      <c r="D9" s="514" t="s">
        <v>58</v>
      </c>
      <c r="E9" s="514"/>
      <c r="F9" s="514"/>
      <c r="J9" s="129"/>
      <c r="K9" s="528" t="s">
        <v>112</v>
      </c>
      <c r="L9" s="528"/>
      <c r="M9" s="528"/>
    </row>
    <row r="10" spans="1:14" s="81" customFormat="1" ht="51.75" customHeight="1">
      <c r="A10" s="84" t="s">
        <v>57</v>
      </c>
      <c r="B10" s="82" t="s">
        <v>56</v>
      </c>
      <c r="C10" s="83" t="s">
        <v>55</v>
      </c>
      <c r="D10" s="83" t="s">
        <v>54</v>
      </c>
      <c r="E10" s="82" t="s">
        <v>53</v>
      </c>
      <c r="F10" s="82" t="s">
        <v>52</v>
      </c>
      <c r="G10" s="82" t="s">
        <v>91</v>
      </c>
      <c r="H10" s="82" t="s">
        <v>135</v>
      </c>
      <c r="J10" s="128"/>
      <c r="K10" s="453" t="s">
        <v>114</v>
      </c>
      <c r="L10" s="453" t="s">
        <v>113</v>
      </c>
      <c r="M10" s="453" t="s">
        <v>108</v>
      </c>
    </row>
    <row r="11" spans="1:14">
      <c r="J11" s="113"/>
      <c r="K11" s="454"/>
      <c r="L11" s="454"/>
      <c r="M11" s="454"/>
    </row>
    <row r="12" spans="1:14">
      <c r="A12" s="162" t="s">
        <v>74</v>
      </c>
      <c r="G12" s="80"/>
      <c r="J12" s="113"/>
      <c r="K12" s="454"/>
      <c r="L12" s="454"/>
      <c r="M12" s="454"/>
    </row>
    <row r="13" spans="1:14">
      <c r="A13" s="162" t="s">
        <v>73</v>
      </c>
      <c r="B13" s="79">
        <v>1</v>
      </c>
      <c r="C13" s="161">
        <v>100</v>
      </c>
      <c r="D13" s="161"/>
      <c r="E13" s="161">
        <f>C13*$B$6</f>
        <v>2</v>
      </c>
      <c r="F13" s="161">
        <f t="shared" ref="F13:F30" si="0">D13+E13</f>
        <v>2</v>
      </c>
      <c r="G13" s="161">
        <v>0.46042777951630098</v>
      </c>
      <c r="H13" s="161">
        <f t="shared" ref="H13:H30" si="1">F13/G13</f>
        <v>4.343786558884621</v>
      </c>
      <c r="J13" s="113"/>
      <c r="K13" s="455"/>
      <c r="L13" s="455"/>
      <c r="M13" s="455"/>
    </row>
    <row r="14" spans="1:14">
      <c r="A14" s="162" t="s">
        <v>72</v>
      </c>
      <c r="B14" s="79">
        <v>2</v>
      </c>
      <c r="C14" s="161">
        <v>100</v>
      </c>
      <c r="D14" s="161"/>
      <c r="E14" s="161">
        <f>C14*$B$6</f>
        <v>2</v>
      </c>
      <c r="F14" s="161">
        <f t="shared" si="0"/>
        <v>2</v>
      </c>
      <c r="G14" s="161">
        <v>0.50186627967276809</v>
      </c>
      <c r="H14" s="161">
        <f t="shared" si="1"/>
        <v>3.9851252833803859</v>
      </c>
      <c r="J14" s="113"/>
      <c r="K14" s="455"/>
      <c r="L14" s="455"/>
      <c r="M14" s="455"/>
    </row>
    <row r="15" spans="1:14">
      <c r="A15" s="162" t="s">
        <v>71</v>
      </c>
      <c r="B15" s="79">
        <v>3</v>
      </c>
      <c r="C15" s="161">
        <v>100</v>
      </c>
      <c r="D15" s="161"/>
      <c r="E15" s="161">
        <f>C15*$B$6</f>
        <v>2</v>
      </c>
      <c r="F15" s="161">
        <f t="shared" si="0"/>
        <v>2</v>
      </c>
      <c r="G15" s="161">
        <v>0.54703424484331731</v>
      </c>
      <c r="H15" s="161">
        <f t="shared" si="1"/>
        <v>3.6560782416333812</v>
      </c>
      <c r="J15" s="113"/>
      <c r="K15" s="455"/>
      <c r="L15" s="455"/>
      <c r="M15" s="455"/>
    </row>
    <row r="16" spans="1:14">
      <c r="A16" s="162" t="s">
        <v>70</v>
      </c>
      <c r="B16" s="79">
        <v>4</v>
      </c>
      <c r="C16" s="161">
        <v>100</v>
      </c>
      <c r="D16" s="161"/>
      <c r="E16" s="183"/>
      <c r="F16" s="161">
        <f t="shared" si="0"/>
        <v>0</v>
      </c>
      <c r="G16" s="161">
        <v>0.5962673268792158</v>
      </c>
      <c r="H16" s="161">
        <f t="shared" si="1"/>
        <v>0</v>
      </c>
      <c r="J16" s="113"/>
      <c r="K16" s="455"/>
      <c r="L16" s="455">
        <f>C16*$B$6+L15</f>
        <v>2</v>
      </c>
      <c r="M16" s="455">
        <f t="shared" ref="M16:M21" si="2">$H$6*(K16+L16)+M15</f>
        <v>0.14000000000000001</v>
      </c>
    </row>
    <row r="17" spans="1:14">
      <c r="A17" s="162" t="s">
        <v>69</v>
      </c>
      <c r="B17" s="79">
        <v>5</v>
      </c>
      <c r="C17" s="161">
        <v>100</v>
      </c>
      <c r="D17" s="56"/>
      <c r="E17" s="183"/>
      <c r="F17" s="161">
        <f t="shared" si="0"/>
        <v>0</v>
      </c>
      <c r="G17" s="161">
        <v>0.64993138629834524</v>
      </c>
      <c r="H17" s="161">
        <f t="shared" si="1"/>
        <v>0</v>
      </c>
      <c r="J17" s="113"/>
      <c r="K17" s="455"/>
      <c r="L17" s="455">
        <f>C17*$B$6+L16</f>
        <v>4</v>
      </c>
      <c r="M17" s="455">
        <f t="shared" si="2"/>
        <v>0.42000000000000004</v>
      </c>
    </row>
    <row r="18" spans="1:14" ht="12.75" customHeight="1">
      <c r="A18" s="59" t="s">
        <v>68</v>
      </c>
      <c r="B18" s="58">
        <v>6</v>
      </c>
      <c r="C18" s="56">
        <v>100</v>
      </c>
      <c r="D18" s="183"/>
      <c r="E18" s="183"/>
      <c r="F18" s="56">
        <f t="shared" si="0"/>
        <v>0</v>
      </c>
      <c r="G18" s="56">
        <v>0.7084252110651964</v>
      </c>
      <c r="H18" s="56">
        <f t="shared" si="1"/>
        <v>0</v>
      </c>
      <c r="I18" s="529"/>
      <c r="J18" s="166"/>
      <c r="K18" s="455">
        <f>C18/13+K17</f>
        <v>7.6923076923076925</v>
      </c>
      <c r="L18" s="455">
        <f t="shared" ref="L18:L21" si="3">C18*$B$6+L17</f>
        <v>6</v>
      </c>
      <c r="M18" s="455">
        <f t="shared" si="2"/>
        <v>1.3784615384615386</v>
      </c>
    </row>
    <row r="19" spans="1:14">
      <c r="A19" s="59" t="s">
        <v>49</v>
      </c>
      <c r="B19" s="58">
        <v>7</v>
      </c>
      <c r="C19" s="56">
        <v>100</v>
      </c>
      <c r="D19" s="183"/>
      <c r="E19" s="183"/>
      <c r="F19" s="56">
        <f t="shared" si="0"/>
        <v>0</v>
      </c>
      <c r="G19" s="56">
        <v>0.77218348006106419</v>
      </c>
      <c r="H19" s="56">
        <f t="shared" si="1"/>
        <v>0</v>
      </c>
      <c r="I19" s="529"/>
      <c r="J19" s="166"/>
      <c r="K19" s="455">
        <f t="shared" ref="K19:K21" si="4">C19/13+K18</f>
        <v>15.384615384615385</v>
      </c>
      <c r="L19" s="455">
        <f t="shared" si="3"/>
        <v>8</v>
      </c>
      <c r="M19" s="455">
        <f t="shared" si="2"/>
        <v>3.0153846153846158</v>
      </c>
    </row>
    <row r="20" spans="1:14">
      <c r="A20" s="59" t="s">
        <v>48</v>
      </c>
      <c r="B20" s="58">
        <v>8</v>
      </c>
      <c r="C20" s="56">
        <v>100</v>
      </c>
      <c r="D20" s="183"/>
      <c r="E20" s="183"/>
      <c r="F20" s="56">
        <f t="shared" si="0"/>
        <v>0</v>
      </c>
      <c r="G20" s="56">
        <v>0.84167999326655996</v>
      </c>
      <c r="H20" s="56">
        <f t="shared" si="1"/>
        <v>0</v>
      </c>
      <c r="I20" s="45"/>
      <c r="J20" s="166"/>
      <c r="K20" s="455">
        <f t="shared" si="4"/>
        <v>23.076923076923077</v>
      </c>
      <c r="L20" s="455">
        <f t="shared" si="3"/>
        <v>10</v>
      </c>
      <c r="M20" s="455">
        <f t="shared" si="2"/>
        <v>5.3307692307692314</v>
      </c>
    </row>
    <row r="21" spans="1:14">
      <c r="A21" s="169" t="s">
        <v>47</v>
      </c>
      <c r="B21" s="168">
        <v>9</v>
      </c>
      <c r="C21" s="167">
        <v>100</v>
      </c>
      <c r="D21" s="184"/>
      <c r="E21" s="183"/>
      <c r="F21" s="167">
        <f t="shared" si="0"/>
        <v>0</v>
      </c>
      <c r="G21" s="167">
        <v>0.9174311926605504</v>
      </c>
      <c r="H21" s="167">
        <f t="shared" si="1"/>
        <v>0</v>
      </c>
      <c r="I21" s="529" t="s">
        <v>79</v>
      </c>
      <c r="J21" s="166"/>
      <c r="K21" s="455">
        <f t="shared" si="4"/>
        <v>30.76923076923077</v>
      </c>
      <c r="L21" s="455">
        <f t="shared" si="3"/>
        <v>12</v>
      </c>
      <c r="M21" s="456">
        <f t="shared" si="2"/>
        <v>8.3246153846153863</v>
      </c>
    </row>
    <row r="22" spans="1:14">
      <c r="A22" s="59" t="s">
        <v>46</v>
      </c>
      <c r="B22" s="58">
        <v>10</v>
      </c>
      <c r="C22" s="56">
        <v>0</v>
      </c>
      <c r="D22" s="56">
        <v>0</v>
      </c>
      <c r="E22" s="56">
        <f t="shared" ref="E22:E30" si="5">(C22*$B$6)*0</f>
        <v>0</v>
      </c>
      <c r="F22" s="56">
        <f t="shared" si="0"/>
        <v>0</v>
      </c>
      <c r="G22" s="56">
        <v>1</v>
      </c>
      <c r="H22" s="56">
        <f t="shared" si="1"/>
        <v>0</v>
      </c>
      <c r="I22" s="529"/>
      <c r="J22" s="166"/>
      <c r="K22" s="56"/>
      <c r="L22" s="56"/>
      <c r="M22" s="56"/>
    </row>
    <row r="23" spans="1:14">
      <c r="A23" s="59" t="s">
        <v>45</v>
      </c>
      <c r="B23" s="58">
        <v>11</v>
      </c>
      <c r="C23" s="56">
        <v>0</v>
      </c>
      <c r="D23" s="56">
        <v>0</v>
      </c>
      <c r="E23" s="56">
        <f t="shared" si="5"/>
        <v>0</v>
      </c>
      <c r="F23" s="56">
        <f t="shared" si="0"/>
        <v>0</v>
      </c>
      <c r="G23" s="56">
        <v>1.0900000000000001</v>
      </c>
      <c r="H23" s="56">
        <f t="shared" si="1"/>
        <v>0</v>
      </c>
      <c r="I23" s="45"/>
      <c r="J23" s="166"/>
      <c r="K23" s="56"/>
      <c r="L23" s="56"/>
      <c r="M23" s="56"/>
    </row>
    <row r="24" spans="1:14">
      <c r="A24" s="162" t="s">
        <v>44</v>
      </c>
      <c r="B24" s="79">
        <v>12</v>
      </c>
      <c r="C24" s="161">
        <v>0</v>
      </c>
      <c r="D24" s="56">
        <v>0</v>
      </c>
      <c r="E24" s="161">
        <f t="shared" si="5"/>
        <v>0</v>
      </c>
      <c r="F24" s="161">
        <f t="shared" si="0"/>
        <v>0</v>
      </c>
      <c r="G24" s="161">
        <v>1.1881000000000002</v>
      </c>
      <c r="H24" s="161">
        <f t="shared" si="1"/>
        <v>0</v>
      </c>
      <c r="J24" s="113"/>
      <c r="K24" s="56"/>
      <c r="L24" s="56"/>
      <c r="M24" s="56"/>
    </row>
    <row r="25" spans="1:14">
      <c r="A25" s="162" t="s">
        <v>43</v>
      </c>
      <c r="B25" s="79">
        <v>13</v>
      </c>
      <c r="C25" s="161">
        <v>0</v>
      </c>
      <c r="D25" s="56">
        <v>0</v>
      </c>
      <c r="E25" s="161">
        <f t="shared" si="5"/>
        <v>0</v>
      </c>
      <c r="F25" s="161">
        <f t="shared" si="0"/>
        <v>0</v>
      </c>
      <c r="G25" s="161">
        <v>1.2950290000000002</v>
      </c>
      <c r="H25" s="161">
        <f t="shared" si="1"/>
        <v>0</v>
      </c>
      <c r="J25" s="113"/>
      <c r="K25" s="56"/>
      <c r="L25" s="56"/>
      <c r="M25" s="56"/>
    </row>
    <row r="26" spans="1:14">
      <c r="A26" s="162" t="s">
        <v>42</v>
      </c>
      <c r="B26" s="79">
        <v>14</v>
      </c>
      <c r="C26" s="161">
        <v>0</v>
      </c>
      <c r="D26" s="56">
        <v>0</v>
      </c>
      <c r="E26" s="161">
        <f t="shared" si="5"/>
        <v>0</v>
      </c>
      <c r="F26" s="161">
        <f t="shared" si="0"/>
        <v>0</v>
      </c>
      <c r="G26" s="161">
        <v>1.4115816100000003</v>
      </c>
      <c r="H26" s="161">
        <f t="shared" si="1"/>
        <v>0</v>
      </c>
      <c r="J26" s="113"/>
      <c r="K26" s="56"/>
      <c r="L26" s="56"/>
      <c r="M26" s="56"/>
    </row>
    <row r="27" spans="1:14">
      <c r="A27" s="162" t="s">
        <v>41</v>
      </c>
      <c r="B27" s="79">
        <v>15</v>
      </c>
      <c r="C27" s="161">
        <v>0</v>
      </c>
      <c r="D27" s="56">
        <v>0</v>
      </c>
      <c r="E27" s="161">
        <f t="shared" si="5"/>
        <v>0</v>
      </c>
      <c r="F27" s="161">
        <f t="shared" si="0"/>
        <v>0</v>
      </c>
      <c r="G27" s="161">
        <v>1.5386239549000005</v>
      </c>
      <c r="H27" s="161">
        <f t="shared" si="1"/>
        <v>0</v>
      </c>
      <c r="J27" s="113"/>
      <c r="K27" s="56"/>
      <c r="L27" s="56"/>
      <c r="M27" s="56"/>
    </row>
    <row r="28" spans="1:14">
      <c r="A28" s="162" t="s">
        <v>40</v>
      </c>
      <c r="B28" s="79">
        <v>16</v>
      </c>
      <c r="C28" s="161">
        <v>0</v>
      </c>
      <c r="D28" s="56">
        <v>0</v>
      </c>
      <c r="E28" s="161">
        <f t="shared" si="5"/>
        <v>0</v>
      </c>
      <c r="F28" s="161">
        <f t="shared" si="0"/>
        <v>0</v>
      </c>
      <c r="G28" s="161">
        <v>1.6771001108410006</v>
      </c>
      <c r="H28" s="161">
        <f t="shared" si="1"/>
        <v>0</v>
      </c>
      <c r="J28" s="113"/>
      <c r="K28" s="56"/>
      <c r="L28" s="56"/>
      <c r="M28" s="56"/>
    </row>
    <row r="29" spans="1:14">
      <c r="A29" s="162" t="s">
        <v>39</v>
      </c>
      <c r="B29" s="79">
        <v>17</v>
      </c>
      <c r="C29" s="161">
        <v>0</v>
      </c>
      <c r="D29" s="56">
        <v>0</v>
      </c>
      <c r="E29" s="161">
        <f t="shared" si="5"/>
        <v>0</v>
      </c>
      <c r="F29" s="161">
        <f t="shared" si="0"/>
        <v>0</v>
      </c>
      <c r="G29" s="161">
        <v>1.8280391208166906</v>
      </c>
      <c r="H29" s="161">
        <f t="shared" si="1"/>
        <v>0</v>
      </c>
      <c r="J29" s="113"/>
      <c r="K29" s="56"/>
      <c r="L29" s="56"/>
      <c r="M29" s="56"/>
    </row>
    <row r="30" spans="1:14">
      <c r="A30" s="162" t="s">
        <v>38</v>
      </c>
      <c r="B30" s="79">
        <v>18</v>
      </c>
      <c r="C30" s="161">
        <v>0</v>
      </c>
      <c r="D30" s="56">
        <v>0</v>
      </c>
      <c r="E30" s="161">
        <f t="shared" si="5"/>
        <v>0</v>
      </c>
      <c r="F30" s="161">
        <f t="shared" si="0"/>
        <v>0</v>
      </c>
      <c r="G30" s="161">
        <v>1.9925626416901929</v>
      </c>
      <c r="H30" s="161">
        <f t="shared" si="1"/>
        <v>0</v>
      </c>
      <c r="J30" s="113"/>
      <c r="K30" s="56"/>
      <c r="L30" s="56"/>
      <c r="M30" s="56"/>
    </row>
    <row r="31" spans="1:14" ht="12.75" customHeight="1">
      <c r="A31" s="162"/>
      <c r="B31" s="79"/>
      <c r="C31" s="161"/>
      <c r="D31" s="56"/>
      <c r="E31" s="161"/>
      <c r="F31" s="161"/>
      <c r="G31" s="161"/>
      <c r="H31" s="161"/>
      <c r="J31" s="113"/>
      <c r="K31" s="56"/>
      <c r="L31" s="56"/>
      <c r="M31" s="56"/>
    </row>
    <row r="32" spans="1:14">
      <c r="A32" s="137"/>
      <c r="B32" s="66"/>
      <c r="C32" s="172"/>
      <c r="D32" s="172"/>
      <c r="E32" s="172"/>
      <c r="F32" s="172"/>
      <c r="G32" s="275" t="s">
        <v>67</v>
      </c>
      <c r="H32" s="272">
        <f>SUM(H13:H30)</f>
        <v>11.984990083898388</v>
      </c>
      <c r="I32" s="66"/>
      <c r="J32" s="135"/>
      <c r="K32" s="55"/>
      <c r="L32" s="55"/>
      <c r="M32" s="55"/>
      <c r="N32" s="66"/>
    </row>
    <row r="33" spans="1:14">
      <c r="A33" s="137"/>
      <c r="B33" s="66"/>
      <c r="C33" s="136"/>
      <c r="D33" s="136"/>
      <c r="E33" s="138"/>
      <c r="F33" s="361"/>
      <c r="G33" s="440" t="s">
        <v>191</v>
      </c>
      <c r="H33" s="371">
        <f>B5*(1+H5)^B22-H32</f>
        <v>224.75137737531347</v>
      </c>
      <c r="I33" s="66"/>
      <c r="J33" s="66"/>
      <c r="K33" s="138"/>
      <c r="L33" s="138"/>
      <c r="M33" s="138"/>
      <c r="N33" s="66"/>
    </row>
    <row r="34" spans="1:14">
      <c r="A34" s="47"/>
      <c r="B34" s="45"/>
      <c r="C34" s="46"/>
      <c r="D34" s="46"/>
      <c r="E34" s="45"/>
      <c r="F34" s="45"/>
      <c r="G34" s="45"/>
      <c r="H34" s="45"/>
      <c r="I34" s="45"/>
      <c r="J34" s="45"/>
      <c r="N34" s="45"/>
    </row>
    <row r="35" spans="1:14" s="45" customFormat="1">
      <c r="A35" s="291" t="s">
        <v>141</v>
      </c>
      <c r="B35" s="291" t="s">
        <v>201</v>
      </c>
      <c r="C35" s="293"/>
      <c r="D35" s="293"/>
      <c r="E35" s="298"/>
      <c r="F35" s="298"/>
      <c r="G35" s="299"/>
      <c r="H35" s="300"/>
      <c r="I35" s="294"/>
      <c r="J35" s="294"/>
      <c r="K35" s="294"/>
      <c r="L35" s="419"/>
      <c r="M35" s="419"/>
      <c r="N35" s="419"/>
    </row>
    <row r="36" spans="1:14" s="141" customFormat="1" ht="25.7" customHeight="1">
      <c r="A36" s="145"/>
      <c r="B36" s="144"/>
      <c r="C36" s="93"/>
      <c r="D36" s="143"/>
      <c r="E36" s="51"/>
      <c r="F36" s="51"/>
      <c r="G36" s="64" t="s">
        <v>204</v>
      </c>
      <c r="H36" s="116">
        <f>'Example 3_step 0'!K34*(1+'Example 3_case 8'!H5)^B22</f>
        <v>115.20802249115698</v>
      </c>
      <c r="I36" s="428" t="s">
        <v>205</v>
      </c>
      <c r="K36" s="66"/>
      <c r="L36" s="441"/>
      <c r="M36" s="441"/>
      <c r="N36" s="442"/>
    </row>
    <row r="37" spans="1:14" s="141" customFormat="1" ht="25.7" customHeight="1">
      <c r="A37" s="145"/>
      <c r="B37" s="144"/>
      <c r="C37" s="93"/>
      <c r="D37" s="143"/>
      <c r="E37" s="51"/>
      <c r="F37" s="51"/>
      <c r="G37" s="64" t="s">
        <v>192</v>
      </c>
      <c r="H37" s="116">
        <f>M21</f>
        <v>8.3246153846153863</v>
      </c>
      <c r="K37" s="66"/>
      <c r="L37" s="441"/>
      <c r="M37" s="441"/>
      <c r="N37" s="442"/>
    </row>
    <row r="38" spans="1:14" s="66" customFormat="1" ht="21" customHeight="1">
      <c r="C38" s="49"/>
      <c r="D38" s="49"/>
      <c r="E38" s="55"/>
      <c r="F38" s="365"/>
      <c r="G38" s="362" t="s">
        <v>181</v>
      </c>
      <c r="H38" s="363">
        <f>H33-H36+H37</f>
        <v>117.86797026877187</v>
      </c>
      <c r="I38" s="114"/>
      <c r="L38" s="443"/>
      <c r="M38" s="441"/>
      <c r="N38" s="444"/>
    </row>
    <row r="39" spans="1:14" s="66" customFormat="1">
      <c r="F39" s="120"/>
    </row>
    <row r="40" spans="1:14" s="66" customFormat="1">
      <c r="F40" s="120"/>
    </row>
    <row r="41" spans="1:14" s="66" customFormat="1">
      <c r="F41" s="51"/>
      <c r="H41" s="139"/>
    </row>
    <row r="42" spans="1:14" s="45" customFormat="1" ht="15.75" customHeight="1">
      <c r="A42" s="291" t="s">
        <v>152</v>
      </c>
      <c r="B42" s="291" t="s">
        <v>202</v>
      </c>
      <c r="C42" s="293"/>
      <c r="D42" s="293"/>
      <c r="E42" s="298"/>
      <c r="F42" s="298"/>
      <c r="G42" s="299"/>
      <c r="H42" s="300"/>
      <c r="I42" s="294"/>
      <c r="J42" s="294"/>
      <c r="K42" s="294"/>
      <c r="L42" s="294"/>
      <c r="M42" s="294"/>
      <c r="N42" s="294"/>
    </row>
    <row r="43" spans="1:14" s="45" customFormat="1">
      <c r="A43" s="47"/>
      <c r="C43" s="46"/>
      <c r="D43" s="46"/>
      <c r="I43" s="2"/>
    </row>
    <row r="44" spans="1:14" s="45" customFormat="1">
      <c r="A44" s="311" t="s">
        <v>0</v>
      </c>
      <c r="B44" s="56">
        <f>B5</f>
        <v>100</v>
      </c>
      <c r="C44" s="46"/>
      <c r="D44" s="46"/>
      <c r="I44" s="2"/>
    </row>
    <row r="45" spans="1:14" s="45" customFormat="1">
      <c r="A45" s="311" t="s">
        <v>145</v>
      </c>
      <c r="B45" s="56">
        <f>'Example 3_step 0'!H34</f>
        <v>38.687420473934843</v>
      </c>
      <c r="C45" s="445" t="s">
        <v>206</v>
      </c>
      <c r="D45" s="46"/>
      <c r="I45" s="2"/>
    </row>
    <row r="46" spans="1:14" s="45" customFormat="1" ht="28.7" customHeight="1">
      <c r="A46" s="307" t="s">
        <v>146</v>
      </c>
      <c r="B46" s="56">
        <f>H38</f>
        <v>117.86797026877187</v>
      </c>
      <c r="C46" s="46"/>
      <c r="D46" s="46"/>
      <c r="I46" s="2"/>
    </row>
    <row r="47" spans="1:14" s="45" customFormat="1">
      <c r="A47" s="289" t="s">
        <v>147</v>
      </c>
      <c r="B47" s="56">
        <f>B45+B46</f>
        <v>156.55539074270672</v>
      </c>
      <c r="C47" s="46"/>
      <c r="D47" s="46"/>
      <c r="I47" s="2"/>
    </row>
    <row r="48" spans="1:14" s="45" customFormat="1" ht="25.5">
      <c r="A48" s="366" t="s">
        <v>144</v>
      </c>
      <c r="B48" s="388">
        <f>IF((B45+B46)&lt;=B44,B46,B44-B45)</f>
        <v>61.312579526065157</v>
      </c>
      <c r="C48" s="46"/>
      <c r="D48" s="46"/>
      <c r="I48" s="2"/>
    </row>
    <row r="49" spans="14:14">
      <c r="N49" s="45"/>
    </row>
  </sheetData>
  <mergeCells count="5">
    <mergeCell ref="K9:M9"/>
    <mergeCell ref="D9:F9"/>
    <mergeCell ref="I18:I19"/>
    <mergeCell ref="I21:I22"/>
    <mergeCell ref="A1:N1"/>
  </mergeCells>
  <pageMargins left="0.18" right="0.17" top="0.4" bottom="0.39" header="0.25" footer="0.28999999999999998"/>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U60"/>
  <sheetViews>
    <sheetView zoomScaleNormal="100" workbookViewId="0">
      <selection sqref="A1:U1"/>
    </sheetView>
  </sheetViews>
  <sheetFormatPr defaultColWidth="9.140625" defaultRowHeight="12.75"/>
  <cols>
    <col min="1" max="1" width="23.5703125" style="44" customWidth="1"/>
    <col min="2" max="2" width="10.85546875" style="1" customWidth="1"/>
    <col min="3" max="3" width="11.85546875" style="43" customWidth="1"/>
    <col min="4" max="4" width="8.85546875" style="43" customWidth="1"/>
    <col min="5" max="5" width="7.85546875" style="1" customWidth="1"/>
    <col min="6" max="6" width="19.140625" style="1" customWidth="1"/>
    <col min="7" max="7" width="8.85546875" style="1" customWidth="1"/>
    <col min="8" max="8" width="10.140625" style="1" customWidth="1"/>
    <col min="9" max="9" width="9.140625" style="1" customWidth="1"/>
    <col min="10" max="10" width="6.5703125" style="1" customWidth="1"/>
    <col min="11" max="11" width="1.42578125" style="45" customWidth="1"/>
    <col min="12" max="12" width="9.42578125" style="1" customWidth="1"/>
    <col min="13" max="13" width="10.85546875" style="1" customWidth="1"/>
    <col min="14" max="14" width="11.140625" style="1" customWidth="1"/>
    <col min="15" max="15" width="10.85546875" style="1" customWidth="1"/>
    <col min="16" max="16" width="0.85546875" style="45" customWidth="1"/>
    <col min="17" max="17" width="12.140625" style="1" customWidth="1"/>
    <col min="18" max="18" width="10.85546875" style="1" bestFit="1" customWidth="1"/>
    <col min="19" max="19" width="9.85546875" style="1" bestFit="1" customWidth="1"/>
    <col min="20" max="20" width="7.85546875" style="1" bestFit="1" customWidth="1"/>
    <col min="21" max="21" width="10.85546875" style="1" customWidth="1"/>
    <col min="22" max="16384" width="9.140625" style="1"/>
  </cols>
  <sheetData>
    <row r="1" spans="1:21" s="188" customFormat="1" ht="42.6" customHeight="1">
      <c r="A1" s="530" t="s">
        <v>207</v>
      </c>
      <c r="B1" s="530"/>
      <c r="C1" s="530"/>
      <c r="D1" s="530"/>
      <c r="E1" s="530"/>
      <c r="F1" s="530"/>
      <c r="G1" s="530"/>
      <c r="H1" s="530"/>
      <c r="I1" s="530"/>
      <c r="J1" s="530"/>
      <c r="K1" s="530"/>
      <c r="L1" s="530"/>
      <c r="M1" s="530"/>
      <c r="N1" s="530"/>
      <c r="O1" s="530"/>
      <c r="P1" s="530"/>
      <c r="Q1" s="530"/>
      <c r="R1" s="530"/>
      <c r="S1" s="530"/>
      <c r="T1" s="530"/>
      <c r="U1" s="530"/>
    </row>
    <row r="2" spans="1:21">
      <c r="A2" s="291" t="s">
        <v>140</v>
      </c>
      <c r="B2" s="292" t="s">
        <v>151</v>
      </c>
      <c r="C2" s="293"/>
      <c r="D2" s="293"/>
      <c r="E2" s="294"/>
      <c r="F2" s="294"/>
      <c r="G2" s="294"/>
      <c r="H2" s="294"/>
      <c r="I2" s="294"/>
      <c r="J2" s="294"/>
      <c r="K2" s="294"/>
      <c r="L2" s="294"/>
      <c r="M2" s="294"/>
      <c r="N2" s="294"/>
      <c r="O2" s="294"/>
      <c r="P2" s="294"/>
      <c r="Q2" s="294"/>
      <c r="R2" s="294"/>
      <c r="S2" s="294"/>
      <c r="T2" s="294"/>
      <c r="U2" s="294"/>
    </row>
    <row r="3" spans="1:21">
      <c r="A3" s="76"/>
      <c r="K3" s="113"/>
    </row>
    <row r="4" spans="1:21">
      <c r="A4" s="75" t="s">
        <v>64</v>
      </c>
      <c r="B4" s="73"/>
      <c r="C4" s="74"/>
      <c r="D4" s="74"/>
      <c r="E4" s="73"/>
      <c r="F4" s="73"/>
      <c r="G4" s="73"/>
      <c r="H4" s="73"/>
      <c r="I4" s="122"/>
      <c r="K4" s="113"/>
      <c r="L4" s="51"/>
      <c r="M4" s="51"/>
      <c r="N4" s="51"/>
      <c r="O4" s="51"/>
      <c r="P4" s="51"/>
      <c r="Q4" s="51"/>
      <c r="R4" s="51"/>
      <c r="S4" s="51"/>
      <c r="T4" s="51"/>
      <c r="U4" s="51"/>
    </row>
    <row r="5" spans="1:21">
      <c r="A5" s="72" t="s">
        <v>63</v>
      </c>
      <c r="B5" s="71">
        <v>100</v>
      </c>
      <c r="F5" s="134" t="s">
        <v>62</v>
      </c>
      <c r="G5" s="448">
        <v>0.09</v>
      </c>
      <c r="H5" s="41"/>
      <c r="K5" s="113"/>
      <c r="L5" s="41"/>
    </row>
    <row r="6" spans="1:21" ht="12.75" customHeight="1">
      <c r="A6" s="72" t="s">
        <v>61</v>
      </c>
      <c r="B6" s="92">
        <v>0.02</v>
      </c>
      <c r="F6" s="134" t="s">
        <v>93</v>
      </c>
      <c r="G6" s="448">
        <v>0.05</v>
      </c>
      <c r="H6" s="41"/>
      <c r="K6" s="113"/>
      <c r="L6" s="41"/>
    </row>
    <row r="7" spans="1:21" ht="15" customHeight="1">
      <c r="A7" s="91" t="s">
        <v>60</v>
      </c>
      <c r="B7" s="90" t="s">
        <v>59</v>
      </c>
      <c r="F7" s="134" t="s">
        <v>92</v>
      </c>
      <c r="G7" s="449">
        <f>B22</f>
        <v>10</v>
      </c>
      <c r="H7" s="43"/>
      <c r="K7" s="113"/>
      <c r="L7" s="43"/>
    </row>
    <row r="8" spans="1:21" ht="15" customHeight="1">
      <c r="A8" s="89"/>
      <c r="B8" s="88"/>
      <c r="K8" s="113"/>
    </row>
    <row r="9" spans="1:21" s="85" customFormat="1" ht="21" customHeight="1">
      <c r="A9" s="87"/>
      <c r="C9" s="86"/>
      <c r="D9" s="514" t="s">
        <v>58</v>
      </c>
      <c r="E9" s="514"/>
      <c r="F9" s="514"/>
      <c r="G9" s="170"/>
      <c r="H9" s="170"/>
      <c r="K9" s="129"/>
      <c r="L9" s="531" t="s">
        <v>112</v>
      </c>
      <c r="M9" s="531"/>
      <c r="N9" s="531"/>
      <c r="O9" s="531"/>
      <c r="P9" s="57"/>
      <c r="Q9" s="532" t="s">
        <v>104</v>
      </c>
      <c r="R9" s="532"/>
      <c r="S9" s="532"/>
      <c r="T9" s="532"/>
      <c r="U9" s="532"/>
    </row>
    <row r="10" spans="1:21" s="81" customFormat="1" ht="68.099999999999994" customHeight="1">
      <c r="A10" s="84" t="s">
        <v>57</v>
      </c>
      <c r="B10" s="82" t="s">
        <v>56</v>
      </c>
      <c r="C10" s="83" t="s">
        <v>55</v>
      </c>
      <c r="D10" s="83" t="s">
        <v>54</v>
      </c>
      <c r="E10" s="82" t="s">
        <v>53</v>
      </c>
      <c r="F10" s="82" t="s">
        <v>52</v>
      </c>
      <c r="G10" s="82" t="s">
        <v>91</v>
      </c>
      <c r="H10" s="82" t="s">
        <v>135</v>
      </c>
      <c r="K10" s="128"/>
      <c r="L10" s="453" t="s">
        <v>114</v>
      </c>
      <c r="M10" s="453" t="s">
        <v>113</v>
      </c>
      <c r="N10" s="453" t="s">
        <v>108</v>
      </c>
      <c r="O10" s="453" t="s">
        <v>115</v>
      </c>
      <c r="P10" s="193"/>
      <c r="Q10" s="457" t="s">
        <v>105</v>
      </c>
      <c r="R10" s="453" t="s">
        <v>54</v>
      </c>
      <c r="S10" s="453" t="s">
        <v>53</v>
      </c>
      <c r="T10" s="453" t="s">
        <v>52</v>
      </c>
      <c r="U10" s="453" t="s">
        <v>135</v>
      </c>
    </row>
    <row r="11" spans="1:21">
      <c r="K11" s="113"/>
      <c r="P11" s="189"/>
    </row>
    <row r="12" spans="1:21">
      <c r="A12" s="162" t="s">
        <v>74</v>
      </c>
      <c r="G12" s="80"/>
      <c r="K12" s="113"/>
      <c r="L12" s="45"/>
      <c r="M12" s="45"/>
      <c r="N12" s="45"/>
      <c r="O12" s="45"/>
      <c r="Q12" s="45"/>
      <c r="R12" s="45"/>
      <c r="S12" s="45"/>
      <c r="T12" s="45"/>
      <c r="U12" s="45"/>
    </row>
    <row r="13" spans="1:21">
      <c r="A13" s="162" t="s">
        <v>73</v>
      </c>
      <c r="B13" s="79">
        <v>1</v>
      </c>
      <c r="C13" s="161">
        <v>100</v>
      </c>
      <c r="D13" s="161"/>
      <c r="E13" s="161">
        <f>C13*$B$6</f>
        <v>2</v>
      </c>
      <c r="F13" s="161">
        <f t="shared" ref="F13:F40" si="0">D13+E13</f>
        <v>2</v>
      </c>
      <c r="G13" s="80">
        <f t="shared" ref="G13:G40" si="1">(1+$G$5)^(B13-10)</f>
        <v>0.46042777951630098</v>
      </c>
      <c r="H13" s="161">
        <f t="shared" ref="H13:H40" si="2">F13/G13</f>
        <v>4.343786558884621</v>
      </c>
      <c r="K13" s="113"/>
      <c r="L13" s="56"/>
      <c r="M13" s="56"/>
      <c r="N13" s="56"/>
      <c r="O13" s="56"/>
      <c r="P13" s="56"/>
      <c r="Q13" s="56"/>
      <c r="R13" s="56"/>
      <c r="S13" s="56"/>
      <c r="T13" s="56"/>
      <c r="U13" s="56"/>
    </row>
    <row r="14" spans="1:21">
      <c r="A14" s="162" t="s">
        <v>72</v>
      </c>
      <c r="B14" s="79">
        <v>2</v>
      </c>
      <c r="C14" s="161">
        <v>100</v>
      </c>
      <c r="D14" s="161"/>
      <c r="E14" s="161">
        <f>C14*$B$6</f>
        <v>2</v>
      </c>
      <c r="F14" s="161">
        <f t="shared" si="0"/>
        <v>2</v>
      </c>
      <c r="G14" s="80">
        <f t="shared" si="1"/>
        <v>0.50186627967276809</v>
      </c>
      <c r="H14" s="161">
        <f t="shared" si="2"/>
        <v>3.9851252833803859</v>
      </c>
      <c r="K14" s="113"/>
      <c r="L14" s="56"/>
      <c r="M14" s="56"/>
      <c r="N14" s="56"/>
      <c r="O14" s="56"/>
      <c r="P14" s="56"/>
      <c r="Q14" s="56"/>
      <c r="R14" s="56"/>
      <c r="S14" s="56"/>
      <c r="T14" s="56"/>
      <c r="U14" s="56"/>
    </row>
    <row r="15" spans="1:21">
      <c r="A15" s="162" t="s">
        <v>71</v>
      </c>
      <c r="B15" s="79">
        <v>3</v>
      </c>
      <c r="C15" s="161">
        <v>100</v>
      </c>
      <c r="D15" s="161"/>
      <c r="E15" s="161">
        <f>C15*$B$6</f>
        <v>2</v>
      </c>
      <c r="F15" s="161">
        <f t="shared" si="0"/>
        <v>2</v>
      </c>
      <c r="G15" s="161">
        <f t="shared" si="1"/>
        <v>0.54703424484331731</v>
      </c>
      <c r="H15" s="161">
        <f t="shared" si="2"/>
        <v>3.6560782416333812</v>
      </c>
      <c r="I15" s="161"/>
      <c r="J15" s="161"/>
      <c r="K15" s="276"/>
      <c r="L15" s="56"/>
      <c r="M15" s="56"/>
      <c r="N15" s="56"/>
      <c r="O15" s="56"/>
      <c r="P15" s="56"/>
      <c r="Q15" s="56"/>
      <c r="R15" s="56"/>
      <c r="S15" s="56"/>
      <c r="T15" s="56"/>
      <c r="U15" s="56"/>
    </row>
    <row r="16" spans="1:21">
      <c r="A16" s="162" t="s">
        <v>70</v>
      </c>
      <c r="B16" s="79">
        <v>4</v>
      </c>
      <c r="C16" s="161">
        <v>100</v>
      </c>
      <c r="D16" s="161"/>
      <c r="E16" s="183"/>
      <c r="F16" s="161">
        <f t="shared" si="0"/>
        <v>0</v>
      </c>
      <c r="G16" s="161">
        <f t="shared" si="1"/>
        <v>0.5962673268792158</v>
      </c>
      <c r="H16" s="161">
        <f t="shared" si="2"/>
        <v>0</v>
      </c>
      <c r="I16" s="161"/>
      <c r="J16" s="161"/>
      <c r="K16" s="276"/>
      <c r="L16" s="458"/>
      <c r="M16" s="455">
        <f t="shared" ref="M16:M21" si="3">C16*$B$6+M15</f>
        <v>2</v>
      </c>
      <c r="N16" s="458">
        <f t="shared" ref="N16:N21" si="4">$G$6*(L16+M16)+N15</f>
        <v>0.1</v>
      </c>
      <c r="O16" s="458">
        <f>M16+N16</f>
        <v>2.1</v>
      </c>
      <c r="P16" s="56"/>
      <c r="Q16" s="56"/>
      <c r="R16" s="56"/>
      <c r="S16" s="56"/>
      <c r="T16" s="56"/>
      <c r="U16" s="56"/>
    </row>
    <row r="17" spans="1:21">
      <c r="A17" s="162" t="s">
        <v>69</v>
      </c>
      <c r="B17" s="79">
        <v>5</v>
      </c>
      <c r="C17" s="161">
        <f t="shared" ref="C17:C40" si="5">C16-D16</f>
        <v>100</v>
      </c>
      <c r="D17" s="56"/>
      <c r="E17" s="183"/>
      <c r="F17" s="161">
        <f t="shared" si="0"/>
        <v>0</v>
      </c>
      <c r="G17" s="161">
        <f t="shared" si="1"/>
        <v>0.64993138629834524</v>
      </c>
      <c r="H17" s="161">
        <f t="shared" si="2"/>
        <v>0</v>
      </c>
      <c r="I17" s="161"/>
      <c r="J17" s="161"/>
      <c r="K17" s="276"/>
      <c r="L17" s="458"/>
      <c r="M17" s="455">
        <f t="shared" si="3"/>
        <v>4</v>
      </c>
      <c r="N17" s="458">
        <f t="shared" si="4"/>
        <v>0.30000000000000004</v>
      </c>
      <c r="O17" s="458">
        <f t="shared" ref="O17:O21" si="6">M17+N17</f>
        <v>4.3</v>
      </c>
      <c r="P17" s="56"/>
      <c r="Q17" s="56"/>
      <c r="R17" s="56"/>
      <c r="S17" s="56"/>
      <c r="T17" s="56"/>
      <c r="U17" s="56"/>
    </row>
    <row r="18" spans="1:21" ht="12.75" customHeight="1">
      <c r="A18" s="153" t="s">
        <v>68</v>
      </c>
      <c r="B18" s="152">
        <v>6</v>
      </c>
      <c r="C18" s="160">
        <f t="shared" si="5"/>
        <v>100</v>
      </c>
      <c r="D18" s="160"/>
      <c r="E18" s="160"/>
      <c r="F18" s="160">
        <f t="shared" si="0"/>
        <v>0</v>
      </c>
      <c r="G18" s="160">
        <f t="shared" si="1"/>
        <v>0.7084252110651964</v>
      </c>
      <c r="H18" s="160">
        <f t="shared" si="2"/>
        <v>0</v>
      </c>
      <c r="I18" s="515"/>
      <c r="J18" s="518" t="s">
        <v>82</v>
      </c>
      <c r="K18" s="276"/>
      <c r="L18" s="455">
        <f>C18/13+L17</f>
        <v>7.6923076923076925</v>
      </c>
      <c r="M18" s="455">
        <f t="shared" si="3"/>
        <v>6</v>
      </c>
      <c r="N18" s="458">
        <f t="shared" si="4"/>
        <v>0.98461538461538478</v>
      </c>
      <c r="O18" s="458">
        <f t="shared" si="6"/>
        <v>6.9846153846153847</v>
      </c>
      <c r="P18" s="56"/>
      <c r="Q18" s="56"/>
      <c r="R18" s="56"/>
      <c r="S18" s="56"/>
      <c r="T18" s="56"/>
      <c r="U18" s="56"/>
    </row>
    <row r="19" spans="1:21">
      <c r="A19" s="153" t="s">
        <v>49</v>
      </c>
      <c r="B19" s="152">
        <v>7</v>
      </c>
      <c r="C19" s="160">
        <f t="shared" si="5"/>
        <v>100</v>
      </c>
      <c r="D19" s="160"/>
      <c r="E19" s="160"/>
      <c r="F19" s="160">
        <f t="shared" si="0"/>
        <v>0</v>
      </c>
      <c r="G19" s="160">
        <f t="shared" si="1"/>
        <v>0.77218348006106419</v>
      </c>
      <c r="H19" s="160">
        <f t="shared" si="2"/>
        <v>0</v>
      </c>
      <c r="I19" s="515"/>
      <c r="J19" s="518"/>
      <c r="K19" s="276"/>
      <c r="L19" s="455">
        <f t="shared" ref="L19:L21" si="7">C19/13+L18</f>
        <v>15.384615384615385</v>
      </c>
      <c r="M19" s="455">
        <f t="shared" si="3"/>
        <v>8</v>
      </c>
      <c r="N19" s="458">
        <f t="shared" si="4"/>
        <v>2.1538461538461542</v>
      </c>
      <c r="O19" s="458">
        <f t="shared" si="6"/>
        <v>10.153846153846153</v>
      </c>
      <c r="P19" s="56"/>
      <c r="Q19" s="56"/>
      <c r="R19" s="56"/>
      <c r="S19" s="56"/>
      <c r="T19" s="56"/>
      <c r="U19" s="56"/>
    </row>
    <row r="20" spans="1:21">
      <c r="A20" s="153" t="s">
        <v>48</v>
      </c>
      <c r="B20" s="152">
        <v>8</v>
      </c>
      <c r="C20" s="160">
        <f t="shared" si="5"/>
        <v>100</v>
      </c>
      <c r="D20" s="160"/>
      <c r="E20" s="160"/>
      <c r="F20" s="160">
        <f t="shared" si="0"/>
        <v>0</v>
      </c>
      <c r="G20" s="160">
        <f t="shared" si="1"/>
        <v>0.84167999326655996</v>
      </c>
      <c r="H20" s="160">
        <f t="shared" si="2"/>
        <v>0</v>
      </c>
      <c r="I20" s="161"/>
      <c r="J20" s="518"/>
      <c r="K20" s="276"/>
      <c r="L20" s="455">
        <f t="shared" si="7"/>
        <v>23.076923076923077</v>
      </c>
      <c r="M20" s="455">
        <f t="shared" si="3"/>
        <v>10</v>
      </c>
      <c r="N20" s="458">
        <f t="shared" si="4"/>
        <v>3.8076923076923084</v>
      </c>
      <c r="O20" s="458">
        <f t="shared" si="6"/>
        <v>13.807692307692308</v>
      </c>
      <c r="P20" s="56"/>
      <c r="Q20" s="56"/>
      <c r="R20" s="56"/>
      <c r="S20" s="56"/>
      <c r="T20" s="56"/>
      <c r="U20" s="56"/>
    </row>
    <row r="21" spans="1:21">
      <c r="A21" s="156" t="s">
        <v>47</v>
      </c>
      <c r="B21" s="155">
        <v>9</v>
      </c>
      <c r="C21" s="163">
        <f t="shared" si="5"/>
        <v>100</v>
      </c>
      <c r="D21" s="163"/>
      <c r="E21" s="163"/>
      <c r="F21" s="163">
        <f t="shared" si="0"/>
        <v>0</v>
      </c>
      <c r="G21" s="163">
        <f t="shared" si="1"/>
        <v>0.9174311926605504</v>
      </c>
      <c r="H21" s="163">
        <f t="shared" si="2"/>
        <v>0</v>
      </c>
      <c r="I21" s="515" t="s">
        <v>79</v>
      </c>
      <c r="J21" s="518"/>
      <c r="K21" s="276"/>
      <c r="L21" s="455">
        <f t="shared" si="7"/>
        <v>30.76923076923077</v>
      </c>
      <c r="M21" s="455">
        <f t="shared" si="3"/>
        <v>12</v>
      </c>
      <c r="N21" s="458">
        <f t="shared" si="4"/>
        <v>5.9461538461538472</v>
      </c>
      <c r="O21" s="456">
        <f t="shared" si="6"/>
        <v>17.946153846153848</v>
      </c>
      <c r="P21" s="190"/>
      <c r="Q21" s="60"/>
      <c r="R21" s="60"/>
      <c r="S21" s="60"/>
      <c r="T21" s="60"/>
      <c r="U21" s="56"/>
    </row>
    <row r="22" spans="1:21">
      <c r="A22" s="153" t="s">
        <v>46</v>
      </c>
      <c r="B22" s="152">
        <v>10</v>
      </c>
      <c r="C22" s="160">
        <f t="shared" si="5"/>
        <v>100</v>
      </c>
      <c r="D22" s="160"/>
      <c r="E22" s="160">
        <f t="shared" ref="E22:E40" si="8">(C22*$B$6)</f>
        <v>2</v>
      </c>
      <c r="F22" s="160">
        <f t="shared" si="0"/>
        <v>2</v>
      </c>
      <c r="G22" s="160">
        <f t="shared" si="1"/>
        <v>1</v>
      </c>
      <c r="H22" s="160">
        <f t="shared" si="2"/>
        <v>2</v>
      </c>
      <c r="I22" s="515"/>
      <c r="J22" s="518"/>
      <c r="K22" s="276"/>
      <c r="L22" s="56"/>
      <c r="M22" s="56"/>
      <c r="N22" s="56"/>
      <c r="O22" s="56"/>
      <c r="P22" s="56"/>
      <c r="Q22" s="458">
        <f>O21</f>
        <v>17.946153846153848</v>
      </c>
      <c r="R22" s="458"/>
      <c r="S22" s="458">
        <f t="shared" ref="S22:S40" si="9">Q22*$B$6</f>
        <v>0.35892307692307696</v>
      </c>
      <c r="T22" s="458">
        <f t="shared" ref="T22:T40" si="10">R22+S22</f>
        <v>0.35892307692307696</v>
      </c>
      <c r="U22" s="458">
        <f>T22/G22</f>
        <v>0.35892307692307696</v>
      </c>
    </row>
    <row r="23" spans="1:21">
      <c r="A23" s="153" t="s">
        <v>45</v>
      </c>
      <c r="B23" s="152">
        <v>11</v>
      </c>
      <c r="C23" s="160">
        <f t="shared" si="5"/>
        <v>100</v>
      </c>
      <c r="D23" s="160"/>
      <c r="E23" s="160">
        <f t="shared" si="8"/>
        <v>2</v>
      </c>
      <c r="F23" s="160">
        <f t="shared" si="0"/>
        <v>2</v>
      </c>
      <c r="G23" s="160">
        <f t="shared" si="1"/>
        <v>1.0900000000000001</v>
      </c>
      <c r="H23" s="160">
        <f t="shared" si="2"/>
        <v>1.8348623853211008</v>
      </c>
      <c r="I23" s="161"/>
      <c r="J23" s="518"/>
      <c r="K23" s="276"/>
      <c r="L23" s="56"/>
      <c r="M23" s="56"/>
      <c r="N23" s="56"/>
      <c r="O23" s="56"/>
      <c r="P23" s="56"/>
      <c r="Q23" s="458">
        <f t="shared" ref="Q23:Q40" si="11">Q22-R22</f>
        <v>17.946153846153848</v>
      </c>
      <c r="R23" s="458"/>
      <c r="S23" s="458">
        <f t="shared" si="9"/>
        <v>0.35892307692307696</v>
      </c>
      <c r="T23" s="458">
        <f t="shared" si="10"/>
        <v>0.35892307692307696</v>
      </c>
      <c r="U23" s="458">
        <f t="shared" ref="U23:U40" si="12">T23/G23</f>
        <v>0.32928722653493298</v>
      </c>
    </row>
    <row r="24" spans="1:21">
      <c r="A24" s="153" t="s">
        <v>44</v>
      </c>
      <c r="B24" s="152">
        <v>12</v>
      </c>
      <c r="C24" s="160">
        <f t="shared" si="5"/>
        <v>100</v>
      </c>
      <c r="D24" s="160"/>
      <c r="E24" s="160">
        <f t="shared" si="8"/>
        <v>2</v>
      </c>
      <c r="F24" s="160">
        <f t="shared" si="0"/>
        <v>2</v>
      </c>
      <c r="G24" s="160">
        <f t="shared" si="1"/>
        <v>1.1881000000000002</v>
      </c>
      <c r="H24" s="160">
        <f t="shared" si="2"/>
        <v>1.6833599865331199</v>
      </c>
      <c r="I24" s="161"/>
      <c r="J24" s="518"/>
      <c r="K24" s="276"/>
      <c r="L24" s="56"/>
      <c r="M24" s="56"/>
      <c r="N24" s="56"/>
      <c r="O24" s="56"/>
      <c r="P24" s="56"/>
      <c r="Q24" s="458">
        <f t="shared" si="11"/>
        <v>17.946153846153848</v>
      </c>
      <c r="R24" s="458"/>
      <c r="S24" s="458">
        <f t="shared" si="9"/>
        <v>0.35892307692307696</v>
      </c>
      <c r="T24" s="458">
        <f t="shared" si="10"/>
        <v>0.35892307692307696</v>
      </c>
      <c r="U24" s="458">
        <f t="shared" si="12"/>
        <v>0.30209837296782838</v>
      </c>
    </row>
    <row r="25" spans="1:21">
      <c r="A25" s="153" t="s">
        <v>43</v>
      </c>
      <c r="B25" s="152">
        <v>13</v>
      </c>
      <c r="C25" s="160">
        <f t="shared" si="5"/>
        <v>100</v>
      </c>
      <c r="D25" s="160"/>
      <c r="E25" s="160">
        <f t="shared" si="8"/>
        <v>2</v>
      </c>
      <c r="F25" s="160">
        <f t="shared" si="0"/>
        <v>2</v>
      </c>
      <c r="G25" s="160">
        <f t="shared" si="1"/>
        <v>1.2950290000000002</v>
      </c>
      <c r="H25" s="160">
        <f t="shared" si="2"/>
        <v>1.5443669601221284</v>
      </c>
      <c r="I25" s="161"/>
      <c r="J25" s="518"/>
      <c r="K25" s="276"/>
      <c r="L25" s="56"/>
      <c r="M25" s="56"/>
      <c r="N25" s="56"/>
      <c r="O25" s="56"/>
      <c r="P25" s="56"/>
      <c r="Q25" s="458">
        <f t="shared" si="11"/>
        <v>17.946153846153848</v>
      </c>
      <c r="R25" s="458"/>
      <c r="S25" s="458">
        <f t="shared" si="9"/>
        <v>0.35892307692307696</v>
      </c>
      <c r="T25" s="458">
        <f t="shared" si="10"/>
        <v>0.35892307692307696</v>
      </c>
      <c r="U25" s="458">
        <f t="shared" si="12"/>
        <v>0.27715447061268661</v>
      </c>
    </row>
    <row r="26" spans="1:21">
      <c r="A26" s="153" t="s">
        <v>42</v>
      </c>
      <c r="B26" s="152">
        <v>14</v>
      </c>
      <c r="C26" s="160">
        <f t="shared" si="5"/>
        <v>100</v>
      </c>
      <c r="D26" s="160"/>
      <c r="E26" s="160">
        <f t="shared" si="8"/>
        <v>2</v>
      </c>
      <c r="F26" s="160">
        <f t="shared" si="0"/>
        <v>2</v>
      </c>
      <c r="G26" s="160">
        <f t="shared" si="1"/>
        <v>1.4115816100000003</v>
      </c>
      <c r="H26" s="160">
        <f t="shared" si="2"/>
        <v>1.4168504221303928</v>
      </c>
      <c r="I26" s="161"/>
      <c r="J26" s="518"/>
      <c r="K26" s="276"/>
      <c r="L26" s="56"/>
      <c r="M26" s="56"/>
      <c r="N26" s="56"/>
      <c r="O26" s="56"/>
      <c r="P26" s="56"/>
      <c r="Q26" s="458">
        <f t="shared" si="11"/>
        <v>17.946153846153848</v>
      </c>
      <c r="R26" s="458"/>
      <c r="S26" s="458">
        <f t="shared" si="9"/>
        <v>0.35892307692307696</v>
      </c>
      <c r="T26" s="458">
        <f t="shared" si="10"/>
        <v>0.35892307692307696</v>
      </c>
      <c r="U26" s="458">
        <f t="shared" si="12"/>
        <v>0.25427015652540053</v>
      </c>
    </row>
    <row r="27" spans="1:21">
      <c r="A27" s="153" t="s">
        <v>41</v>
      </c>
      <c r="B27" s="152">
        <v>15</v>
      </c>
      <c r="C27" s="160">
        <f t="shared" si="5"/>
        <v>100</v>
      </c>
      <c r="D27" s="160"/>
      <c r="E27" s="160">
        <f t="shared" si="8"/>
        <v>2</v>
      </c>
      <c r="F27" s="160">
        <f t="shared" si="0"/>
        <v>2</v>
      </c>
      <c r="G27" s="160">
        <f t="shared" si="1"/>
        <v>1.5386239549000005</v>
      </c>
      <c r="H27" s="160">
        <f t="shared" si="2"/>
        <v>1.2998627725966905</v>
      </c>
      <c r="I27" s="161"/>
      <c r="J27" s="518"/>
      <c r="K27" s="276"/>
      <c r="L27" s="56"/>
      <c r="M27" s="56"/>
      <c r="N27" s="56"/>
      <c r="O27" s="56"/>
      <c r="P27" s="56"/>
      <c r="Q27" s="458">
        <f t="shared" si="11"/>
        <v>17.946153846153848</v>
      </c>
      <c r="R27" s="458"/>
      <c r="S27" s="458">
        <f t="shared" si="9"/>
        <v>0.35892307692307696</v>
      </c>
      <c r="T27" s="458">
        <f t="shared" si="10"/>
        <v>0.35892307692307696</v>
      </c>
      <c r="U27" s="458">
        <f t="shared" si="12"/>
        <v>0.23327537295908302</v>
      </c>
    </row>
    <row r="28" spans="1:21">
      <c r="A28" s="162" t="s">
        <v>40</v>
      </c>
      <c r="B28" s="79">
        <v>16</v>
      </c>
      <c r="C28" s="161">
        <f t="shared" si="5"/>
        <v>100</v>
      </c>
      <c r="D28" s="56">
        <f t="shared" ref="D28:D40" si="13">($C$13-$D$18)/13</f>
        <v>7.6923076923076925</v>
      </c>
      <c r="E28" s="161">
        <f t="shared" si="8"/>
        <v>2</v>
      </c>
      <c r="F28" s="161">
        <f t="shared" si="0"/>
        <v>9.6923076923076934</v>
      </c>
      <c r="G28" s="161">
        <f t="shared" si="1"/>
        <v>1.6771001108410006</v>
      </c>
      <c r="H28" s="161">
        <f t="shared" si="2"/>
        <v>5.7792063989831695</v>
      </c>
      <c r="I28" s="161"/>
      <c r="J28" s="161"/>
      <c r="K28" s="276"/>
      <c r="L28" s="56"/>
      <c r="M28" s="56"/>
      <c r="N28" s="56"/>
      <c r="O28" s="56"/>
      <c r="P28" s="56"/>
      <c r="Q28" s="458">
        <f t="shared" si="11"/>
        <v>17.946153846153848</v>
      </c>
      <c r="R28" s="458">
        <f t="shared" ref="R28:R40" si="14">$Q$24/13</f>
        <v>1.3804733727810652</v>
      </c>
      <c r="S28" s="458">
        <f t="shared" si="9"/>
        <v>0.35892307692307696</v>
      </c>
      <c r="T28" s="458">
        <f t="shared" si="10"/>
        <v>1.7393964497041421</v>
      </c>
      <c r="U28" s="458">
        <f t="shared" si="12"/>
        <v>1.0371452714482872</v>
      </c>
    </row>
    <row r="29" spans="1:21">
      <c r="A29" s="162" t="s">
        <v>39</v>
      </c>
      <c r="B29" s="79">
        <v>17</v>
      </c>
      <c r="C29" s="161">
        <f t="shared" si="5"/>
        <v>92.307692307692307</v>
      </c>
      <c r="D29" s="56">
        <f t="shared" si="13"/>
        <v>7.6923076923076925</v>
      </c>
      <c r="E29" s="161">
        <f t="shared" si="8"/>
        <v>1.8461538461538463</v>
      </c>
      <c r="F29" s="161">
        <f t="shared" si="0"/>
        <v>9.5384615384615383</v>
      </c>
      <c r="G29" s="161">
        <f t="shared" si="1"/>
        <v>1.8280391208166906</v>
      </c>
      <c r="H29" s="161">
        <f t="shared" si="2"/>
        <v>5.2178651046593343</v>
      </c>
      <c r="I29" s="161"/>
      <c r="J29" s="161"/>
      <c r="K29" s="276"/>
      <c r="L29" s="56"/>
      <c r="M29" s="56"/>
      <c r="N29" s="56"/>
      <c r="O29" s="56"/>
      <c r="P29" s="56"/>
      <c r="Q29" s="458">
        <f t="shared" si="11"/>
        <v>16.565680473372783</v>
      </c>
      <c r="R29" s="458">
        <f t="shared" si="14"/>
        <v>1.3804733727810652</v>
      </c>
      <c r="S29" s="458">
        <f t="shared" si="9"/>
        <v>0.33131360946745569</v>
      </c>
      <c r="T29" s="458">
        <f t="shared" si="10"/>
        <v>1.7117869822485208</v>
      </c>
      <c r="U29" s="458">
        <f t="shared" si="12"/>
        <v>0.93640609916694051</v>
      </c>
    </row>
    <row r="30" spans="1:21">
      <c r="A30" s="162" t="s">
        <v>38</v>
      </c>
      <c r="B30" s="79">
        <v>18</v>
      </c>
      <c r="C30" s="161">
        <f t="shared" si="5"/>
        <v>84.615384615384613</v>
      </c>
      <c r="D30" s="56">
        <f t="shared" si="13"/>
        <v>7.6923076923076925</v>
      </c>
      <c r="E30" s="161">
        <f t="shared" si="8"/>
        <v>1.6923076923076923</v>
      </c>
      <c r="F30" s="161">
        <f t="shared" si="0"/>
        <v>9.384615384615385</v>
      </c>
      <c r="G30" s="161">
        <f t="shared" si="1"/>
        <v>1.9925626416901929</v>
      </c>
      <c r="H30" s="161">
        <f t="shared" si="2"/>
        <v>4.7098220092367473</v>
      </c>
      <c r="I30" s="161"/>
      <c r="J30" s="161"/>
      <c r="K30" s="276"/>
      <c r="L30" s="56"/>
      <c r="M30" s="56"/>
      <c r="N30" s="56"/>
      <c r="O30" s="56"/>
      <c r="P30" s="56"/>
      <c r="Q30" s="458">
        <f t="shared" si="11"/>
        <v>15.185207100591718</v>
      </c>
      <c r="R30" s="458">
        <f t="shared" si="14"/>
        <v>1.3804733727810652</v>
      </c>
      <c r="S30" s="458">
        <f t="shared" si="9"/>
        <v>0.30370414201183438</v>
      </c>
      <c r="T30" s="458">
        <f t="shared" si="10"/>
        <v>1.6841775147928995</v>
      </c>
      <c r="U30" s="458">
        <f t="shared" si="12"/>
        <v>0.84523190365764078</v>
      </c>
    </row>
    <row r="31" spans="1:21" ht="12.75" customHeight="1">
      <c r="A31" s="153" t="s">
        <v>37</v>
      </c>
      <c r="B31" s="152">
        <v>19</v>
      </c>
      <c r="C31" s="160">
        <f t="shared" si="5"/>
        <v>76.92307692307692</v>
      </c>
      <c r="D31" s="160">
        <f t="shared" si="13"/>
        <v>7.6923076923076925</v>
      </c>
      <c r="E31" s="160">
        <f t="shared" si="8"/>
        <v>1.5384615384615383</v>
      </c>
      <c r="F31" s="160">
        <f t="shared" si="0"/>
        <v>9.2307692307692299</v>
      </c>
      <c r="G31" s="161">
        <f t="shared" si="1"/>
        <v>2.1718932794423105</v>
      </c>
      <c r="H31" s="160">
        <f t="shared" si="2"/>
        <v>4.2501025801504699</v>
      </c>
      <c r="I31" s="161"/>
      <c r="J31" s="518" t="s">
        <v>81</v>
      </c>
      <c r="K31" s="276"/>
      <c r="L31" s="56"/>
      <c r="M31" s="56"/>
      <c r="N31" s="56"/>
      <c r="O31" s="56"/>
      <c r="P31" s="56"/>
      <c r="Q31" s="458">
        <f t="shared" si="11"/>
        <v>13.804733727810653</v>
      </c>
      <c r="R31" s="458">
        <f t="shared" si="14"/>
        <v>1.3804733727810652</v>
      </c>
      <c r="S31" s="458">
        <f t="shared" si="9"/>
        <v>0.27609467455621306</v>
      </c>
      <c r="T31" s="458">
        <f t="shared" si="10"/>
        <v>1.6565680473372781</v>
      </c>
      <c r="U31" s="458">
        <f t="shared" si="12"/>
        <v>0.76272994765315749</v>
      </c>
    </row>
    <row r="32" spans="1:21">
      <c r="A32" s="153" t="s">
        <v>36</v>
      </c>
      <c r="B32" s="152">
        <v>20</v>
      </c>
      <c r="C32" s="160">
        <f t="shared" si="5"/>
        <v>69.230769230769226</v>
      </c>
      <c r="D32" s="160">
        <f t="shared" si="13"/>
        <v>7.6923076923076925</v>
      </c>
      <c r="E32" s="160">
        <f t="shared" si="8"/>
        <v>1.3846153846153846</v>
      </c>
      <c r="F32" s="160">
        <f t="shared" si="0"/>
        <v>9.0769230769230766</v>
      </c>
      <c r="G32" s="161">
        <f t="shared" si="1"/>
        <v>2.3673636745921187</v>
      </c>
      <c r="H32" s="160">
        <f t="shared" si="2"/>
        <v>3.8341904010531764</v>
      </c>
      <c r="I32" s="161"/>
      <c r="J32" s="518"/>
      <c r="K32" s="276"/>
      <c r="L32" s="56"/>
      <c r="M32" s="56"/>
      <c r="N32" s="56"/>
      <c r="O32" s="56"/>
      <c r="P32" s="56"/>
      <c r="Q32" s="458">
        <f t="shared" si="11"/>
        <v>12.424260355029588</v>
      </c>
      <c r="R32" s="458">
        <f t="shared" si="14"/>
        <v>1.3804733727810652</v>
      </c>
      <c r="S32" s="458">
        <f t="shared" si="9"/>
        <v>0.24848520710059177</v>
      </c>
      <c r="T32" s="458">
        <f t="shared" si="10"/>
        <v>1.628958579881657</v>
      </c>
      <c r="U32" s="458">
        <f t="shared" si="12"/>
        <v>0.68808970812746628</v>
      </c>
    </row>
    <row r="33" spans="1:21">
      <c r="A33" s="153" t="s">
        <v>35</v>
      </c>
      <c r="B33" s="152">
        <v>21</v>
      </c>
      <c r="C33" s="160">
        <f t="shared" si="5"/>
        <v>61.538461538461533</v>
      </c>
      <c r="D33" s="160">
        <f t="shared" si="13"/>
        <v>7.6923076923076925</v>
      </c>
      <c r="E33" s="160">
        <f t="shared" si="8"/>
        <v>1.2307692307692306</v>
      </c>
      <c r="F33" s="160">
        <f t="shared" si="0"/>
        <v>8.9230769230769234</v>
      </c>
      <c r="G33" s="161">
        <f t="shared" si="1"/>
        <v>2.5804264053054093</v>
      </c>
      <c r="H33" s="160">
        <f t="shared" si="2"/>
        <v>3.4579854340084628</v>
      </c>
      <c r="I33" s="161"/>
      <c r="J33" s="518"/>
      <c r="K33" s="276"/>
      <c r="L33" s="56"/>
      <c r="M33" s="56"/>
      <c r="N33" s="56"/>
      <c r="O33" s="56"/>
      <c r="P33" s="56"/>
      <c r="Q33" s="458">
        <f t="shared" si="11"/>
        <v>11.043786982248523</v>
      </c>
      <c r="R33" s="458">
        <f t="shared" si="14"/>
        <v>1.3804733727810652</v>
      </c>
      <c r="S33" s="458">
        <f t="shared" si="9"/>
        <v>0.22087573964497048</v>
      </c>
      <c r="T33" s="458">
        <f t="shared" si="10"/>
        <v>1.6013491124260357</v>
      </c>
      <c r="U33" s="458">
        <f t="shared" si="12"/>
        <v>0.62057538596474959</v>
      </c>
    </row>
    <row r="34" spans="1:21">
      <c r="A34" s="153" t="s">
        <v>34</v>
      </c>
      <c r="B34" s="152">
        <v>22</v>
      </c>
      <c r="C34" s="160">
        <f t="shared" si="5"/>
        <v>53.84615384615384</v>
      </c>
      <c r="D34" s="160">
        <f t="shared" si="13"/>
        <v>7.6923076923076925</v>
      </c>
      <c r="E34" s="160">
        <f t="shared" si="8"/>
        <v>1.0769230769230769</v>
      </c>
      <c r="F34" s="160">
        <f t="shared" si="0"/>
        <v>8.7692307692307701</v>
      </c>
      <c r="G34" s="161">
        <f t="shared" si="1"/>
        <v>2.812664781782896</v>
      </c>
      <c r="H34" s="160">
        <f t="shared" si="2"/>
        <v>3.117766050909244</v>
      </c>
      <c r="I34" s="161"/>
      <c r="J34" s="518"/>
      <c r="K34" s="276"/>
      <c r="L34" s="56"/>
      <c r="M34" s="56"/>
      <c r="N34" s="56"/>
      <c r="O34" s="56"/>
      <c r="P34" s="56"/>
      <c r="Q34" s="458">
        <f t="shared" si="11"/>
        <v>9.6633136094674583</v>
      </c>
      <c r="R34" s="458">
        <f t="shared" si="14"/>
        <v>1.3804733727810652</v>
      </c>
      <c r="S34" s="458">
        <f t="shared" si="9"/>
        <v>0.19326627218934916</v>
      </c>
      <c r="T34" s="458">
        <f t="shared" si="10"/>
        <v>1.5737396449704144</v>
      </c>
      <c r="U34" s="458">
        <f t="shared" si="12"/>
        <v>0.55951909205932815</v>
      </c>
    </row>
    <row r="35" spans="1:21">
      <c r="A35" s="153" t="s">
        <v>33</v>
      </c>
      <c r="B35" s="152">
        <v>23</v>
      </c>
      <c r="C35" s="160">
        <f t="shared" si="5"/>
        <v>46.153846153846146</v>
      </c>
      <c r="D35" s="160">
        <f t="shared" si="13"/>
        <v>7.6923076923076925</v>
      </c>
      <c r="E35" s="160">
        <f t="shared" si="8"/>
        <v>0.92307692307692291</v>
      </c>
      <c r="F35" s="160">
        <f t="shared" si="0"/>
        <v>8.615384615384615</v>
      </c>
      <c r="G35" s="161">
        <f t="shared" si="1"/>
        <v>3.0658046121433573</v>
      </c>
      <c r="H35" s="160">
        <f t="shared" si="2"/>
        <v>2.8101544962323772</v>
      </c>
      <c r="I35" s="161"/>
      <c r="J35" s="518"/>
      <c r="K35" s="276"/>
      <c r="L35" s="56"/>
      <c r="M35" s="56"/>
      <c r="N35" s="56"/>
      <c r="O35" s="56"/>
      <c r="P35" s="56"/>
      <c r="Q35" s="458">
        <f t="shared" si="11"/>
        <v>8.2828402366863934</v>
      </c>
      <c r="R35" s="458">
        <f t="shared" si="14"/>
        <v>1.3804733727810652</v>
      </c>
      <c r="S35" s="458">
        <f t="shared" si="9"/>
        <v>0.16565680473372787</v>
      </c>
      <c r="T35" s="458">
        <f t="shared" si="10"/>
        <v>1.5461301775147931</v>
      </c>
      <c r="U35" s="458">
        <f t="shared" si="12"/>
        <v>0.50431464920847213</v>
      </c>
    </row>
    <row r="36" spans="1:21">
      <c r="A36" s="153" t="s">
        <v>32</v>
      </c>
      <c r="B36" s="152">
        <v>24</v>
      </c>
      <c r="C36" s="160">
        <f t="shared" si="5"/>
        <v>38.461538461538453</v>
      </c>
      <c r="D36" s="160">
        <f t="shared" si="13"/>
        <v>7.6923076923076925</v>
      </c>
      <c r="E36" s="160">
        <f t="shared" si="8"/>
        <v>0.76923076923076905</v>
      </c>
      <c r="F36" s="160">
        <f t="shared" si="0"/>
        <v>8.4615384615384617</v>
      </c>
      <c r="G36" s="161">
        <f t="shared" si="1"/>
        <v>3.3417270272362596</v>
      </c>
      <c r="H36" s="160">
        <f t="shared" si="2"/>
        <v>2.5320854733417555</v>
      </c>
      <c r="I36" s="161"/>
      <c r="J36" s="518"/>
      <c r="K36" s="276"/>
      <c r="L36" s="56"/>
      <c r="M36" s="56"/>
      <c r="N36" s="56"/>
      <c r="O36" s="56"/>
      <c r="P36" s="56"/>
      <c r="Q36" s="458">
        <f t="shared" si="11"/>
        <v>6.9023668639053284</v>
      </c>
      <c r="R36" s="458">
        <f t="shared" si="14"/>
        <v>1.3804733727810652</v>
      </c>
      <c r="S36" s="458">
        <f t="shared" si="9"/>
        <v>0.13804733727810656</v>
      </c>
      <c r="T36" s="458">
        <f t="shared" si="10"/>
        <v>1.5185207100591718</v>
      </c>
      <c r="U36" s="458">
        <f t="shared" si="12"/>
        <v>0.45441195456202432</v>
      </c>
    </row>
    <row r="37" spans="1:21">
      <c r="A37" s="153" t="s">
        <v>31</v>
      </c>
      <c r="B37" s="152">
        <v>25</v>
      </c>
      <c r="C37" s="160">
        <f t="shared" si="5"/>
        <v>30.769230769230759</v>
      </c>
      <c r="D37" s="160">
        <f t="shared" si="13"/>
        <v>7.6923076923076925</v>
      </c>
      <c r="E37" s="160">
        <f t="shared" si="8"/>
        <v>0.6153846153846152</v>
      </c>
      <c r="F37" s="160">
        <f t="shared" si="0"/>
        <v>8.3076923076923084</v>
      </c>
      <c r="G37" s="161">
        <f t="shared" si="1"/>
        <v>3.6424824596875229</v>
      </c>
      <c r="H37" s="160">
        <f t="shared" si="2"/>
        <v>2.2807775739859015</v>
      </c>
      <c r="I37" s="161"/>
      <c r="J37" s="518"/>
      <c r="K37" s="276"/>
      <c r="L37" s="56"/>
      <c r="M37" s="56"/>
      <c r="N37" s="56"/>
      <c r="O37" s="56"/>
      <c r="P37" s="56"/>
      <c r="Q37" s="458">
        <f t="shared" si="11"/>
        <v>5.5218934911242634</v>
      </c>
      <c r="R37" s="458">
        <f t="shared" si="14"/>
        <v>1.3804733727810652</v>
      </c>
      <c r="S37" s="458">
        <f t="shared" si="9"/>
        <v>0.11043786982248527</v>
      </c>
      <c r="T37" s="458">
        <f t="shared" si="10"/>
        <v>1.4909112426035505</v>
      </c>
      <c r="U37" s="458">
        <f t="shared" si="12"/>
        <v>0.4093118523160853</v>
      </c>
    </row>
    <row r="38" spans="1:21">
      <c r="A38" s="153" t="s">
        <v>30</v>
      </c>
      <c r="B38" s="152">
        <v>26</v>
      </c>
      <c r="C38" s="160">
        <f t="shared" si="5"/>
        <v>23.076923076923066</v>
      </c>
      <c r="D38" s="160">
        <f t="shared" si="13"/>
        <v>7.6923076923076925</v>
      </c>
      <c r="E38" s="160">
        <f t="shared" si="8"/>
        <v>0.46153846153846134</v>
      </c>
      <c r="F38" s="160">
        <f t="shared" si="0"/>
        <v>8.1538461538461533</v>
      </c>
      <c r="G38" s="161">
        <f t="shared" si="1"/>
        <v>3.9703058810594003</v>
      </c>
      <c r="H38" s="160">
        <f t="shared" si="2"/>
        <v>2.0537072956380014</v>
      </c>
      <c r="I38" s="161"/>
      <c r="J38" s="518"/>
      <c r="K38" s="276"/>
      <c r="L38" s="56"/>
      <c r="M38" s="56"/>
      <c r="N38" s="56"/>
      <c r="O38" s="56"/>
      <c r="P38" s="56"/>
      <c r="Q38" s="458">
        <f t="shared" si="11"/>
        <v>4.1414201183431985</v>
      </c>
      <c r="R38" s="458">
        <f t="shared" si="14"/>
        <v>1.3804733727810652</v>
      </c>
      <c r="S38" s="458">
        <f t="shared" si="9"/>
        <v>8.2828402366863965E-2</v>
      </c>
      <c r="T38" s="458">
        <f t="shared" si="10"/>
        <v>1.4633017751479291</v>
      </c>
      <c r="U38" s="458">
        <f t="shared" si="12"/>
        <v>0.36856147082488139</v>
      </c>
    </row>
    <row r="39" spans="1:21">
      <c r="A39" s="153" t="s">
        <v>29</v>
      </c>
      <c r="B39" s="152">
        <v>27</v>
      </c>
      <c r="C39" s="160">
        <f t="shared" si="5"/>
        <v>15.384615384615373</v>
      </c>
      <c r="D39" s="160">
        <f t="shared" si="13"/>
        <v>7.6923076923076925</v>
      </c>
      <c r="E39" s="160">
        <f t="shared" si="8"/>
        <v>0.30769230769230743</v>
      </c>
      <c r="F39" s="160">
        <f t="shared" si="0"/>
        <v>8</v>
      </c>
      <c r="G39" s="161">
        <f t="shared" si="1"/>
        <v>4.3276334103547462</v>
      </c>
      <c r="H39" s="160">
        <f t="shared" si="2"/>
        <v>1.8485854141107163</v>
      </c>
      <c r="I39" s="161"/>
      <c r="J39" s="518"/>
      <c r="K39" s="276"/>
      <c r="L39" s="56"/>
      <c r="M39" s="56"/>
      <c r="N39" s="56"/>
      <c r="O39" s="56"/>
      <c r="P39" s="56"/>
      <c r="Q39" s="458">
        <f t="shared" si="11"/>
        <v>2.7609467455621335</v>
      </c>
      <c r="R39" s="458">
        <f t="shared" si="14"/>
        <v>1.3804733727810652</v>
      </c>
      <c r="S39" s="458">
        <f t="shared" si="9"/>
        <v>5.5218934911242669E-2</v>
      </c>
      <c r="T39" s="458">
        <f t="shared" si="10"/>
        <v>1.4356923076923078</v>
      </c>
      <c r="U39" s="458">
        <f t="shared" si="12"/>
        <v>0.33174998239386932</v>
      </c>
    </row>
    <row r="40" spans="1:21">
      <c r="A40" s="153" t="s">
        <v>28</v>
      </c>
      <c r="B40" s="152">
        <v>28</v>
      </c>
      <c r="C40" s="160">
        <f t="shared" si="5"/>
        <v>7.6923076923076801</v>
      </c>
      <c r="D40" s="160">
        <f t="shared" si="13"/>
        <v>7.6923076923076925</v>
      </c>
      <c r="E40" s="160">
        <f t="shared" si="8"/>
        <v>0.1538461538461536</v>
      </c>
      <c r="F40" s="160">
        <f t="shared" si="0"/>
        <v>7.8461538461538458</v>
      </c>
      <c r="G40" s="161">
        <f t="shared" si="1"/>
        <v>4.7171204172866741</v>
      </c>
      <c r="H40" s="160">
        <f t="shared" si="2"/>
        <v>1.6633354996409053</v>
      </c>
      <c r="I40" s="161"/>
      <c r="J40" s="518"/>
      <c r="K40" s="276"/>
      <c r="L40" s="56"/>
      <c r="M40" s="56"/>
      <c r="N40" s="56"/>
      <c r="O40" s="56"/>
      <c r="P40" s="56"/>
      <c r="Q40" s="458">
        <f t="shared" si="11"/>
        <v>1.3804733727810683</v>
      </c>
      <c r="R40" s="458">
        <f t="shared" si="14"/>
        <v>1.3804733727810652</v>
      </c>
      <c r="S40" s="458">
        <f t="shared" si="9"/>
        <v>2.7609467455621366E-2</v>
      </c>
      <c r="T40" s="458">
        <f t="shared" si="10"/>
        <v>1.4080828402366865</v>
      </c>
      <c r="U40" s="458">
        <f t="shared" si="12"/>
        <v>0.29850474774324864</v>
      </c>
    </row>
    <row r="41" spans="1:21">
      <c r="A41" s="162"/>
      <c r="B41" s="79"/>
      <c r="C41" s="161"/>
      <c r="D41" s="56"/>
      <c r="E41" s="161"/>
      <c r="F41" s="161"/>
      <c r="G41" s="161"/>
      <c r="H41" s="161"/>
      <c r="I41" s="161"/>
      <c r="J41" s="161"/>
      <c r="K41" s="276"/>
      <c r="L41" s="161"/>
      <c r="M41" s="161"/>
      <c r="N41" s="161"/>
      <c r="O41" s="161"/>
      <c r="P41" s="56"/>
      <c r="Q41" s="161"/>
      <c r="R41" s="161"/>
      <c r="S41" s="161"/>
      <c r="T41" s="161"/>
      <c r="U41" s="161"/>
    </row>
    <row r="42" spans="1:21" s="66" customFormat="1">
      <c r="A42" s="137"/>
      <c r="C42" s="172"/>
      <c r="D42" s="172"/>
      <c r="E42" s="172"/>
      <c r="F42" s="115"/>
      <c r="G42" s="275" t="s">
        <v>67</v>
      </c>
      <c r="H42" s="272">
        <f>SUM(H13:H40)</f>
        <v>65.319876342552078</v>
      </c>
      <c r="I42" s="172"/>
      <c r="J42" s="172"/>
      <c r="K42" s="279"/>
      <c r="L42" s="115"/>
      <c r="M42" s="172"/>
      <c r="N42" s="172"/>
      <c r="O42" s="172"/>
      <c r="P42" s="272"/>
      <c r="Q42" s="275"/>
      <c r="R42" s="275"/>
      <c r="S42" s="283"/>
      <c r="T42" s="459" t="s">
        <v>67</v>
      </c>
      <c r="U42" s="459">
        <f>SUM(U22:U40)</f>
        <v>9.5715607416491597</v>
      </c>
    </row>
    <row r="43" spans="1:21" s="66" customFormat="1">
      <c r="A43" s="137"/>
      <c r="C43" s="136"/>
      <c r="D43" s="136"/>
      <c r="E43" s="138"/>
      <c r="F43" s="138"/>
      <c r="G43" s="98"/>
      <c r="H43" s="165"/>
      <c r="L43" s="138"/>
      <c r="P43" s="121"/>
      <c r="Q43" s="53"/>
    </row>
    <row r="44" spans="1:21" s="66" customFormat="1">
      <c r="A44" s="137"/>
      <c r="C44" s="136"/>
      <c r="D44" s="136"/>
      <c r="E44" s="138"/>
      <c r="F44" s="361"/>
      <c r="G44" s="362" t="s">
        <v>78</v>
      </c>
      <c r="H44" s="383">
        <f>B5*1.09^10-H42</f>
        <v>171.41649111665978</v>
      </c>
      <c r="L44" s="138"/>
      <c r="P44" s="49"/>
      <c r="Q44" s="115"/>
      <c r="U44" s="172"/>
    </row>
    <row r="45" spans="1:21" s="66" customFormat="1">
      <c r="A45" s="137"/>
      <c r="C45" s="136"/>
      <c r="D45" s="136"/>
      <c r="E45" s="138"/>
      <c r="F45" s="373"/>
      <c r="G45" s="385"/>
      <c r="H45" s="386"/>
      <c r="L45" s="138"/>
      <c r="P45" s="49"/>
      <c r="Q45" s="115"/>
      <c r="U45" s="172"/>
    </row>
    <row r="46" spans="1:21" s="66" customFormat="1">
      <c r="F46" s="120"/>
      <c r="G46" s="120"/>
      <c r="H46" s="120"/>
      <c r="L46" s="120"/>
      <c r="M46" s="120"/>
    </row>
    <row r="47" spans="1:21" s="45" customFormat="1">
      <c r="A47" s="291" t="s">
        <v>141</v>
      </c>
      <c r="B47" s="291" t="s">
        <v>201</v>
      </c>
      <c r="C47" s="293"/>
      <c r="D47" s="293"/>
      <c r="E47" s="298"/>
      <c r="F47" s="298"/>
      <c r="G47" s="299"/>
      <c r="H47" s="300"/>
      <c r="I47" s="294"/>
      <c r="J47" s="294"/>
      <c r="K47" s="294"/>
      <c r="L47" s="419"/>
      <c r="M47" s="419"/>
      <c r="N47" s="419"/>
    </row>
    <row r="48" spans="1:21" s="141" customFormat="1" ht="25.7" customHeight="1">
      <c r="A48" s="145"/>
      <c r="B48" s="144"/>
      <c r="C48" s="93"/>
      <c r="D48" s="143"/>
      <c r="E48" s="51"/>
      <c r="F48" s="51"/>
      <c r="G48" s="64" t="s">
        <v>204</v>
      </c>
      <c r="H48" s="116">
        <f>'Example 3_step 0'!K34*(1+'Example 3_case 9'!G5)^'Example 3_case 9'!B22</f>
        <v>115.20802249115698</v>
      </c>
      <c r="I48" s="428" t="s">
        <v>205</v>
      </c>
      <c r="K48" s="66"/>
      <c r="L48" s="441"/>
      <c r="M48" s="441"/>
      <c r="N48" s="442"/>
    </row>
    <row r="49" spans="1:14" s="141" customFormat="1" ht="25.7" customHeight="1">
      <c r="A49" s="145"/>
      <c r="B49" s="144"/>
      <c r="C49" s="93"/>
      <c r="D49" s="143"/>
      <c r="E49" s="51"/>
      <c r="F49" s="51"/>
      <c r="G49" s="64" t="s">
        <v>182</v>
      </c>
      <c r="H49" s="115">
        <f>$Q$22-U42</f>
        <v>8.3745931045046884</v>
      </c>
      <c r="K49" s="66"/>
      <c r="L49" s="441"/>
      <c r="M49" s="441"/>
      <c r="N49" s="442"/>
    </row>
    <row r="50" spans="1:14" s="66" customFormat="1" ht="21" customHeight="1">
      <c r="C50" s="49"/>
      <c r="D50" s="49"/>
      <c r="E50" s="55"/>
      <c r="F50" s="365"/>
      <c r="G50" s="362" t="s">
        <v>181</v>
      </c>
      <c r="H50" s="363">
        <f>H44-H48+H49</f>
        <v>64.583061730007486</v>
      </c>
      <c r="I50" s="114"/>
      <c r="L50" s="443"/>
      <c r="M50" s="441"/>
      <c r="N50" s="444"/>
    </row>
    <row r="51" spans="1:14" s="66" customFormat="1">
      <c r="F51" s="120"/>
    </row>
    <row r="52" spans="1:14" s="66" customFormat="1">
      <c r="F52" s="120"/>
    </row>
    <row r="53" spans="1:14" s="66" customFormat="1">
      <c r="F53" s="51"/>
      <c r="H53" s="139"/>
    </row>
    <row r="54" spans="1:14" s="45" customFormat="1" ht="15.75" customHeight="1">
      <c r="A54" s="291" t="s">
        <v>152</v>
      </c>
      <c r="B54" s="291" t="s">
        <v>202</v>
      </c>
      <c r="C54" s="293"/>
      <c r="D54" s="293"/>
      <c r="E54" s="298"/>
      <c r="F54" s="298"/>
      <c r="G54" s="299"/>
      <c r="H54" s="300"/>
      <c r="I54" s="294"/>
      <c r="J54" s="294"/>
      <c r="K54" s="294"/>
      <c r="L54" s="294"/>
      <c r="M54" s="294"/>
      <c r="N54" s="294"/>
    </row>
    <row r="55" spans="1:14" s="45" customFormat="1">
      <c r="A55" s="47"/>
      <c r="C55" s="46"/>
      <c r="D55" s="46"/>
      <c r="I55" s="2"/>
    </row>
    <row r="56" spans="1:14" s="45" customFormat="1">
      <c r="A56" s="311" t="s">
        <v>0</v>
      </c>
      <c r="B56" s="56">
        <f>B5</f>
        <v>100</v>
      </c>
      <c r="C56" s="46"/>
      <c r="D56" s="46"/>
      <c r="I56" s="2"/>
    </row>
    <row r="57" spans="1:14" s="45" customFormat="1">
      <c r="A57" s="311" t="s">
        <v>145</v>
      </c>
      <c r="B57" s="56">
        <f>'Example 3_step 0'!H34</f>
        <v>38.687420473934843</v>
      </c>
      <c r="C57" s="445" t="s">
        <v>206</v>
      </c>
      <c r="D57" s="46"/>
      <c r="I57" s="2"/>
    </row>
    <row r="58" spans="1:14" s="45" customFormat="1" ht="28.7" customHeight="1">
      <c r="A58" s="307" t="s">
        <v>146</v>
      </c>
      <c r="B58" s="56">
        <f>H50</f>
        <v>64.583061730007486</v>
      </c>
      <c r="C58" s="46"/>
      <c r="D58" s="46"/>
      <c r="I58" s="2"/>
    </row>
    <row r="59" spans="1:14" s="45" customFormat="1">
      <c r="A59" s="289" t="s">
        <v>147</v>
      </c>
      <c r="B59" s="56">
        <f>B57+B58</f>
        <v>103.27048220394232</v>
      </c>
      <c r="C59" s="46"/>
      <c r="D59" s="46"/>
      <c r="I59" s="2"/>
    </row>
    <row r="60" spans="1:14" s="45" customFormat="1" ht="38.25">
      <c r="A60" s="366" t="s">
        <v>144</v>
      </c>
      <c r="B60" s="388">
        <f>IF((B57+B58)&lt;=B56,B58,B56-B57)</f>
        <v>61.312579526065157</v>
      </c>
      <c r="C60" s="46"/>
      <c r="D60" s="46"/>
      <c r="I60" s="2"/>
    </row>
  </sheetData>
  <mergeCells count="8">
    <mergeCell ref="A1:U1"/>
    <mergeCell ref="J31:J40"/>
    <mergeCell ref="L9:O9"/>
    <mergeCell ref="Q9:U9"/>
    <mergeCell ref="D9:F9"/>
    <mergeCell ref="I18:I19"/>
    <mergeCell ref="I21:I22"/>
    <mergeCell ref="J18:J27"/>
  </mergeCells>
  <pageMargins left="0.18" right="0.17" top="0.4" bottom="0.39" header="0.25" footer="0.28999999999999998"/>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abSelected="1" workbookViewId="0"/>
  </sheetViews>
  <sheetFormatPr defaultRowHeight="12.75"/>
  <sheetData>
    <row r="1" spans="1:1">
      <c r="A1" s="312" t="s">
        <v>148</v>
      </c>
    </row>
    <row r="20" spans="1:5">
      <c r="A20" s="488" t="s">
        <v>220</v>
      </c>
    </row>
    <row r="22" spans="1:5">
      <c r="A22" s="488" t="s">
        <v>222</v>
      </c>
      <c r="E22" s="489" t="s">
        <v>221</v>
      </c>
    </row>
  </sheetData>
  <hyperlinks>
    <hyperlink ref="E22" r:id="rId1"/>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5"/>
  <sheetViews>
    <sheetView workbookViewId="0"/>
  </sheetViews>
  <sheetFormatPr defaultColWidth="8.85546875" defaultRowHeight="12.75"/>
  <cols>
    <col min="1" max="1" width="29.42578125" style="273" customWidth="1"/>
    <col min="2" max="2" width="9.140625" style="273" customWidth="1"/>
    <col min="3" max="3" width="15.140625" style="273" customWidth="1"/>
    <col min="4" max="4" width="14.140625" style="273" customWidth="1"/>
    <col min="5" max="6" width="8.85546875" style="273"/>
    <col min="7" max="7" width="39.140625" style="273" customWidth="1"/>
    <col min="8" max="8" width="25.42578125" style="273" customWidth="1"/>
    <col min="9" max="9" width="20.42578125" style="273" customWidth="1"/>
    <col min="10" max="10" width="8.85546875" style="273"/>
    <col min="11" max="11" width="10.85546875" style="273" customWidth="1"/>
    <col min="12" max="12" width="10.5703125" style="273" customWidth="1"/>
    <col min="13" max="14" width="8.85546875" style="273"/>
    <col min="15" max="15" width="10.5703125" style="273" customWidth="1"/>
    <col min="16" max="17" width="8.85546875" style="273"/>
    <col min="18" max="18" width="12.42578125" style="273" customWidth="1"/>
    <col min="19" max="19" width="8.85546875" style="273"/>
    <col min="20" max="20" width="15.85546875" style="273" customWidth="1"/>
    <col min="21" max="16384" width="8.85546875" style="273"/>
  </cols>
  <sheetData>
    <row r="1" spans="1:20">
      <c r="A1" s="321" t="s">
        <v>213</v>
      </c>
    </row>
    <row r="2" spans="1:20">
      <c r="A2" s="321"/>
    </row>
    <row r="3" spans="1:20" customFormat="1" ht="25.5">
      <c r="A3" s="485" t="s">
        <v>165</v>
      </c>
      <c r="B3" s="313"/>
      <c r="C3" s="484"/>
      <c r="D3" s="484"/>
      <c r="E3" s="484"/>
      <c r="F3" s="273"/>
    </row>
    <row r="4" spans="1:20" customFormat="1">
      <c r="A4" s="484"/>
      <c r="B4" s="484"/>
      <c r="C4" s="484"/>
      <c r="D4" s="484"/>
      <c r="E4" s="484"/>
      <c r="F4" s="315"/>
    </row>
    <row r="5" spans="1:20">
      <c r="A5" s="317" t="s">
        <v>140</v>
      </c>
      <c r="B5" s="318" t="s">
        <v>151</v>
      </c>
      <c r="C5" s="319"/>
      <c r="D5" s="319"/>
      <c r="E5" s="320"/>
      <c r="F5" s="320"/>
      <c r="G5" s="320"/>
      <c r="H5" s="320"/>
      <c r="I5" s="320"/>
      <c r="J5" s="320"/>
      <c r="K5" s="320"/>
      <c r="L5" s="467"/>
      <c r="M5" s="467"/>
      <c r="N5" s="467"/>
      <c r="O5" s="467"/>
      <c r="P5" s="467"/>
      <c r="Q5" s="467"/>
      <c r="R5" s="467"/>
      <c r="S5" s="467"/>
      <c r="T5" s="467"/>
    </row>
    <row r="6" spans="1:20">
      <c r="A6" s="325"/>
    </row>
    <row r="8" spans="1:20">
      <c r="A8" s="72" t="s">
        <v>153</v>
      </c>
      <c r="B8" s="316"/>
      <c r="C8" s="86"/>
      <c r="D8" s="86"/>
      <c r="E8" s="85"/>
      <c r="F8" s="85"/>
      <c r="G8" s="323" t="s">
        <v>214</v>
      </c>
      <c r="H8" s="340"/>
      <c r="I8" s="85"/>
      <c r="J8" s="328" t="s">
        <v>158</v>
      </c>
      <c r="L8" s="330"/>
    </row>
    <row r="9" spans="1:20">
      <c r="A9" s="70" t="s">
        <v>160</v>
      </c>
      <c r="B9" s="338"/>
      <c r="C9" s="61"/>
      <c r="D9" s="61"/>
      <c r="E9" s="57"/>
      <c r="F9" s="57"/>
      <c r="G9" s="85"/>
      <c r="H9" s="324"/>
      <c r="I9" s="57"/>
    </row>
    <row r="10" spans="1:20">
      <c r="A10" s="68" t="s">
        <v>161</v>
      </c>
      <c r="B10" s="339"/>
      <c r="C10" s="61"/>
      <c r="D10" s="61"/>
      <c r="E10" s="57"/>
      <c r="F10" s="57"/>
      <c r="G10" s="57"/>
      <c r="H10" s="57"/>
      <c r="I10" s="57"/>
    </row>
    <row r="11" spans="1:20">
      <c r="A11" s="323" t="s">
        <v>209</v>
      </c>
      <c r="B11" s="460"/>
      <c r="C11" s="85"/>
      <c r="D11" s="85"/>
      <c r="E11" s="85"/>
      <c r="F11" s="85"/>
      <c r="G11" s="85"/>
      <c r="H11" s="85"/>
      <c r="I11" s="110"/>
      <c r="J11" s="322"/>
    </row>
    <row r="12" spans="1:20">
      <c r="A12" s="328" t="s">
        <v>210</v>
      </c>
      <c r="B12" s="460"/>
      <c r="C12" s="85"/>
      <c r="D12" s="85"/>
      <c r="E12" s="85"/>
      <c r="F12" s="85"/>
      <c r="G12" s="85"/>
      <c r="H12" s="85"/>
      <c r="I12" s="110"/>
    </row>
    <row r="13" spans="1:20" s="461" customFormat="1">
      <c r="B13" s="57"/>
      <c r="C13" s="57"/>
      <c r="D13" s="57"/>
      <c r="E13" s="57"/>
      <c r="F13" s="57"/>
      <c r="G13" s="57"/>
      <c r="H13" s="57"/>
      <c r="I13" s="57"/>
    </row>
    <row r="14" spans="1:20">
      <c r="A14" s="332"/>
      <c r="B14" s="333"/>
      <c r="C14" s="334"/>
      <c r="D14" s="494" t="s">
        <v>58</v>
      </c>
      <c r="E14" s="494"/>
      <c r="F14" s="494"/>
      <c r="G14" s="333"/>
      <c r="H14" s="333"/>
      <c r="J14" s="495" t="s">
        <v>112</v>
      </c>
      <c r="K14" s="495"/>
      <c r="L14" s="495"/>
      <c r="M14" s="495"/>
      <c r="N14" s="57"/>
      <c r="O14" s="496" t="s">
        <v>104</v>
      </c>
      <c r="P14" s="496"/>
      <c r="Q14" s="496"/>
      <c r="R14" s="496"/>
      <c r="S14" s="496"/>
    </row>
    <row r="15" spans="1:20" ht="60" customHeight="1">
      <c r="A15" s="335" t="s">
        <v>57</v>
      </c>
      <c r="B15" s="262" t="s">
        <v>56</v>
      </c>
      <c r="C15" s="286" t="s">
        <v>55</v>
      </c>
      <c r="D15" s="286" t="s">
        <v>54</v>
      </c>
      <c r="E15" s="262" t="s">
        <v>53</v>
      </c>
      <c r="F15" s="262" t="s">
        <v>52</v>
      </c>
      <c r="G15" s="262" t="s">
        <v>156</v>
      </c>
      <c r="H15" s="262" t="s">
        <v>135</v>
      </c>
      <c r="J15" s="336" t="s">
        <v>114</v>
      </c>
      <c r="K15" s="336" t="s">
        <v>113</v>
      </c>
      <c r="L15" s="336" t="s">
        <v>108</v>
      </c>
      <c r="M15" s="336" t="s">
        <v>115</v>
      </c>
      <c r="N15" s="193"/>
      <c r="O15" s="194" t="s">
        <v>105</v>
      </c>
      <c r="P15" s="287" t="s">
        <v>54</v>
      </c>
      <c r="Q15" s="287" t="s">
        <v>53</v>
      </c>
      <c r="R15" s="287" t="s">
        <v>52</v>
      </c>
      <c r="S15" s="287" t="s">
        <v>135</v>
      </c>
    </row>
    <row r="16" spans="1:20">
      <c r="A16" s="344" t="s">
        <v>155</v>
      </c>
      <c r="B16" s="330"/>
      <c r="C16" s="330"/>
      <c r="D16" s="330"/>
      <c r="E16" s="330"/>
      <c r="F16" s="330"/>
      <c r="G16" s="330"/>
      <c r="H16" s="330"/>
      <c r="J16" s="1"/>
      <c r="K16" s="1"/>
      <c r="L16" s="1"/>
      <c r="M16" s="1"/>
      <c r="N16" s="189"/>
      <c r="O16" s="1"/>
      <c r="P16" s="1"/>
      <c r="Q16" s="1"/>
      <c r="R16" s="1"/>
      <c r="S16" s="1"/>
    </row>
    <row r="17" spans="1:19">
      <c r="A17" s="330"/>
      <c r="B17" s="330"/>
      <c r="C17" s="330"/>
      <c r="D17" s="330"/>
      <c r="E17" s="330"/>
      <c r="F17" s="330"/>
      <c r="G17" s="330"/>
      <c r="H17" s="330"/>
      <c r="J17" s="45"/>
      <c r="K17" s="45"/>
      <c r="L17" s="45"/>
      <c r="M17" s="45"/>
      <c r="N17" s="45"/>
      <c r="O17" s="45"/>
      <c r="P17" s="45"/>
      <c r="Q17" s="45"/>
      <c r="R17" s="45"/>
      <c r="S17" s="45"/>
    </row>
    <row r="18" spans="1:19">
      <c r="A18" s="330"/>
      <c r="B18" s="330"/>
      <c r="C18" s="330"/>
      <c r="D18" s="330"/>
      <c r="E18" s="330"/>
      <c r="F18" s="330"/>
      <c r="G18" s="330"/>
      <c r="H18" s="330"/>
      <c r="J18" s="159"/>
      <c r="K18" s="191"/>
      <c r="L18" s="159"/>
      <c r="M18" s="159"/>
      <c r="N18" s="56"/>
      <c r="O18" s="56"/>
      <c r="P18" s="56"/>
      <c r="Q18" s="56"/>
      <c r="R18" s="56"/>
      <c r="S18" s="56"/>
    </row>
    <row r="19" spans="1:19">
      <c r="A19" s="330"/>
      <c r="B19" s="330"/>
      <c r="C19" s="330"/>
      <c r="D19" s="330"/>
      <c r="E19" s="330"/>
      <c r="F19" s="330"/>
      <c r="G19" s="330"/>
      <c r="H19" s="330"/>
      <c r="J19" s="159"/>
      <c r="K19" s="191"/>
      <c r="L19" s="159"/>
      <c r="M19" s="159"/>
      <c r="N19" s="56"/>
      <c r="O19" s="56"/>
      <c r="P19" s="56"/>
      <c r="Q19" s="56"/>
      <c r="R19" s="56"/>
      <c r="S19" s="56"/>
    </row>
    <row r="20" spans="1:19">
      <c r="A20" s="330"/>
      <c r="B20" s="330"/>
      <c r="C20" s="330"/>
      <c r="D20" s="330"/>
      <c r="E20" s="330"/>
      <c r="F20" s="330"/>
      <c r="G20" s="330"/>
      <c r="H20" s="330"/>
      <c r="J20" s="191"/>
      <c r="K20" s="191"/>
      <c r="L20" s="159"/>
      <c r="M20" s="159"/>
      <c r="N20" s="56"/>
      <c r="O20" s="56"/>
      <c r="P20" s="56"/>
      <c r="Q20" s="56"/>
      <c r="R20" s="56"/>
      <c r="S20" s="56"/>
    </row>
    <row r="21" spans="1:19">
      <c r="A21" s="330"/>
      <c r="B21" s="330"/>
      <c r="C21" s="330"/>
      <c r="D21" s="330"/>
      <c r="E21" s="330"/>
      <c r="F21" s="330"/>
      <c r="G21" s="330"/>
      <c r="H21" s="330"/>
      <c r="J21" s="191"/>
      <c r="K21" s="191"/>
      <c r="L21" s="159"/>
      <c r="M21" s="159"/>
      <c r="N21" s="56"/>
      <c r="O21" s="56"/>
      <c r="P21" s="56"/>
      <c r="Q21" s="56"/>
      <c r="R21" s="56"/>
      <c r="S21" s="56"/>
    </row>
    <row r="22" spans="1:19">
      <c r="A22" s="330"/>
      <c r="B22" s="330"/>
      <c r="C22" s="330"/>
      <c r="D22" s="330"/>
      <c r="E22" s="330"/>
      <c r="F22" s="330"/>
      <c r="G22" s="330"/>
      <c r="H22" s="330"/>
      <c r="J22" s="191"/>
      <c r="K22" s="191"/>
      <c r="L22" s="159"/>
      <c r="M22" s="159"/>
      <c r="N22" s="56"/>
      <c r="O22" s="56"/>
      <c r="P22" s="56"/>
      <c r="Q22" s="56"/>
      <c r="R22" s="56"/>
      <c r="S22" s="56"/>
    </row>
    <row r="23" spans="1:19">
      <c r="A23" s="345"/>
      <c r="B23" s="346"/>
      <c r="C23" s="343"/>
      <c r="D23" s="343"/>
      <c r="E23" s="343"/>
      <c r="F23" s="343"/>
      <c r="G23" s="343"/>
      <c r="H23" s="343"/>
      <c r="I23" s="497" t="s">
        <v>79</v>
      </c>
      <c r="J23" s="191"/>
      <c r="K23" s="191"/>
      <c r="L23" s="159"/>
      <c r="M23" s="192"/>
      <c r="N23" s="56"/>
      <c r="O23" s="56"/>
      <c r="P23" s="56"/>
      <c r="Q23" s="56"/>
      <c r="R23" s="56"/>
      <c r="S23" s="56"/>
    </row>
    <row r="24" spans="1:19">
      <c r="A24" s="326"/>
      <c r="B24" s="327"/>
      <c r="C24" s="159"/>
      <c r="D24" s="159"/>
      <c r="E24" s="159"/>
      <c r="F24" s="159"/>
      <c r="G24" s="159"/>
      <c r="H24" s="159"/>
      <c r="I24" s="497"/>
      <c r="N24" s="56"/>
      <c r="O24" s="159"/>
      <c r="P24" s="159"/>
      <c r="Q24" s="159"/>
      <c r="R24" s="159"/>
      <c r="S24" s="159"/>
    </row>
    <row r="25" spans="1:19">
      <c r="A25" s="330"/>
      <c r="B25" s="330"/>
      <c r="C25" s="330"/>
      <c r="D25" s="330"/>
      <c r="E25" s="330"/>
      <c r="F25" s="330"/>
      <c r="G25" s="330"/>
      <c r="H25" s="330"/>
      <c r="N25" s="56"/>
      <c r="O25" s="159"/>
      <c r="P25" s="159"/>
      <c r="Q25" s="159"/>
      <c r="R25" s="159"/>
      <c r="S25" s="159"/>
    </row>
    <row r="26" spans="1:19">
      <c r="A26" s="330"/>
      <c r="B26" s="330"/>
      <c r="C26" s="330"/>
      <c r="D26" s="330"/>
      <c r="E26" s="330"/>
      <c r="F26" s="330"/>
      <c r="G26" s="330"/>
      <c r="H26" s="330"/>
      <c r="N26" s="56"/>
      <c r="O26" s="159"/>
      <c r="P26" s="159"/>
      <c r="Q26" s="159"/>
      <c r="R26" s="159"/>
      <c r="S26" s="159"/>
    </row>
    <row r="27" spans="1:19">
      <c r="A27" s="330"/>
      <c r="B27" s="330"/>
      <c r="C27" s="330"/>
      <c r="D27" s="330"/>
      <c r="E27" s="330"/>
      <c r="F27" s="330"/>
      <c r="G27" s="330"/>
      <c r="H27" s="330"/>
      <c r="N27" s="56"/>
      <c r="O27" s="159"/>
      <c r="P27" s="159"/>
      <c r="Q27" s="159"/>
      <c r="R27" s="159"/>
      <c r="S27" s="159"/>
    </row>
    <row r="28" spans="1:19">
      <c r="A28" s="330"/>
      <c r="B28" s="330"/>
      <c r="C28" s="330"/>
      <c r="D28" s="330"/>
      <c r="E28" s="330"/>
      <c r="F28" s="330"/>
      <c r="G28" s="330"/>
      <c r="H28" s="330"/>
      <c r="N28" s="56"/>
      <c r="O28" s="159"/>
      <c r="P28" s="159"/>
      <c r="Q28" s="159"/>
      <c r="R28" s="159"/>
      <c r="S28" s="159"/>
    </row>
    <row r="29" spans="1:19">
      <c r="A29" s="330"/>
      <c r="B29" s="330"/>
      <c r="C29" s="330"/>
      <c r="D29" s="330"/>
      <c r="E29" s="330"/>
      <c r="F29" s="330"/>
      <c r="G29" s="330"/>
      <c r="H29" s="330"/>
      <c r="N29" s="190"/>
      <c r="O29" s="329"/>
      <c r="P29" s="329"/>
      <c r="Q29" s="329"/>
      <c r="R29" s="329"/>
      <c r="S29" s="159"/>
    </row>
    <row r="30" spans="1:19">
      <c r="A30" s="330"/>
      <c r="B30" s="330"/>
      <c r="C30" s="330"/>
      <c r="D30" s="330"/>
      <c r="E30" s="330"/>
      <c r="F30" s="330"/>
      <c r="G30" s="330"/>
      <c r="H30" s="330"/>
      <c r="J30" s="56"/>
      <c r="K30" s="56"/>
      <c r="L30" s="56"/>
      <c r="M30" s="56"/>
      <c r="N30" s="56"/>
      <c r="O30" s="159"/>
      <c r="P30" s="159"/>
      <c r="Q30" s="159"/>
      <c r="R30" s="159"/>
      <c r="S30" s="159"/>
    </row>
    <row r="31" spans="1:19">
      <c r="A31" s="330"/>
      <c r="B31" s="330"/>
      <c r="C31" s="330"/>
      <c r="D31" s="330"/>
      <c r="E31" s="330"/>
      <c r="F31" s="330"/>
      <c r="G31" s="330"/>
      <c r="H31" s="330"/>
      <c r="J31" s="56"/>
      <c r="K31" s="56"/>
      <c r="L31" s="56"/>
      <c r="M31" s="56"/>
      <c r="N31" s="56"/>
      <c r="O31" s="159"/>
      <c r="P31" s="159"/>
      <c r="Q31" s="159"/>
      <c r="R31" s="159"/>
      <c r="S31" s="159"/>
    </row>
    <row r="32" spans="1:19">
      <c r="A32" s="330"/>
      <c r="B32" s="330"/>
      <c r="C32" s="330"/>
      <c r="D32" s="330"/>
      <c r="E32" s="330"/>
      <c r="F32" s="330"/>
      <c r="G32" s="330"/>
      <c r="H32" s="330"/>
      <c r="J32" s="56"/>
      <c r="K32" s="56"/>
      <c r="L32" s="56"/>
      <c r="M32" s="56"/>
      <c r="N32" s="56"/>
      <c r="O32" s="159"/>
      <c r="P32" s="159"/>
      <c r="Q32" s="159"/>
      <c r="R32" s="159"/>
      <c r="S32" s="159"/>
    </row>
    <row r="33" spans="1:20">
      <c r="A33" s="330"/>
      <c r="B33" s="330"/>
      <c r="C33" s="330"/>
      <c r="D33" s="330"/>
      <c r="E33" s="330"/>
      <c r="F33" s="330"/>
      <c r="G33" s="330"/>
      <c r="H33" s="330"/>
      <c r="J33" s="56"/>
      <c r="K33" s="56"/>
      <c r="L33" s="56"/>
      <c r="M33" s="56"/>
      <c r="N33" s="56"/>
      <c r="O33" s="159"/>
      <c r="P33" s="159"/>
      <c r="Q33" s="159"/>
      <c r="R33" s="159"/>
      <c r="S33" s="159"/>
    </row>
    <row r="34" spans="1:20">
      <c r="A34" s="330"/>
      <c r="B34" s="330"/>
      <c r="C34" s="330"/>
      <c r="D34" s="330"/>
      <c r="E34" s="330"/>
      <c r="F34" s="330"/>
      <c r="G34" s="330"/>
      <c r="H34" s="330"/>
      <c r="J34" s="56"/>
      <c r="K34" s="56"/>
      <c r="L34" s="56"/>
      <c r="M34" s="56"/>
      <c r="N34" s="56"/>
      <c r="O34" s="159"/>
      <c r="P34" s="159"/>
      <c r="Q34" s="159"/>
      <c r="R34" s="159"/>
      <c r="S34" s="159"/>
    </row>
    <row r="35" spans="1:20">
      <c r="A35" s="330"/>
      <c r="B35" s="330"/>
      <c r="C35" s="330"/>
      <c r="D35" s="330"/>
      <c r="E35" s="330"/>
      <c r="F35" s="330"/>
      <c r="G35" s="330"/>
      <c r="H35" s="330"/>
      <c r="J35" s="56"/>
      <c r="K35" s="56"/>
      <c r="L35" s="56"/>
      <c r="M35" s="56"/>
      <c r="N35" s="56"/>
      <c r="O35" s="159"/>
      <c r="P35" s="159"/>
      <c r="Q35" s="159"/>
      <c r="R35" s="159"/>
      <c r="S35" s="159"/>
    </row>
    <row r="36" spans="1:20">
      <c r="A36" s="330"/>
      <c r="B36" s="330"/>
      <c r="C36" s="330"/>
      <c r="D36" s="330"/>
      <c r="E36" s="330"/>
      <c r="F36" s="330"/>
      <c r="G36" s="330"/>
      <c r="H36" s="330"/>
      <c r="J36" s="56"/>
      <c r="K36" s="56"/>
      <c r="L36" s="56"/>
      <c r="M36" s="56"/>
      <c r="N36" s="56"/>
      <c r="O36" s="159"/>
      <c r="P36" s="159"/>
      <c r="Q36" s="159"/>
      <c r="R36" s="159"/>
      <c r="S36" s="159"/>
    </row>
    <row r="37" spans="1:20">
      <c r="A37" s="330"/>
      <c r="B37" s="330"/>
      <c r="C37" s="330"/>
      <c r="D37" s="330"/>
      <c r="E37" s="330"/>
      <c r="F37" s="330"/>
      <c r="G37" s="330"/>
      <c r="H37" s="330"/>
      <c r="J37" s="56"/>
      <c r="K37" s="56"/>
      <c r="L37" s="56"/>
      <c r="M37" s="56"/>
      <c r="N37" s="56"/>
      <c r="O37" s="159"/>
      <c r="P37" s="159"/>
      <c r="Q37" s="159"/>
      <c r="R37" s="159"/>
      <c r="S37" s="159"/>
    </row>
    <row r="38" spans="1:20">
      <c r="A38" s="330"/>
      <c r="B38" s="330"/>
      <c r="C38" s="330"/>
      <c r="D38" s="330"/>
      <c r="E38" s="330"/>
      <c r="F38" s="330"/>
      <c r="G38" s="330"/>
      <c r="H38" s="330"/>
      <c r="J38" s="56"/>
      <c r="K38" s="56"/>
      <c r="L38" s="56"/>
      <c r="M38" s="56"/>
      <c r="N38" s="56"/>
      <c r="O38" s="159"/>
      <c r="P38" s="159"/>
      <c r="Q38" s="159"/>
      <c r="R38" s="159"/>
      <c r="S38" s="159"/>
    </row>
    <row r="39" spans="1:20">
      <c r="A39" s="330"/>
      <c r="B39" s="330"/>
      <c r="C39" s="330"/>
      <c r="D39" s="330"/>
      <c r="E39" s="330"/>
      <c r="F39" s="330"/>
      <c r="G39" s="330"/>
      <c r="H39" s="330"/>
      <c r="J39" s="56"/>
      <c r="K39" s="56"/>
      <c r="L39" s="56"/>
      <c r="M39" s="56"/>
      <c r="N39" s="56"/>
      <c r="O39" s="159"/>
      <c r="P39" s="159"/>
      <c r="Q39" s="159"/>
      <c r="R39" s="159"/>
      <c r="S39" s="159"/>
    </row>
    <row r="40" spans="1:20">
      <c r="A40" s="330"/>
      <c r="B40" s="330"/>
      <c r="C40" s="330"/>
      <c r="D40" s="330"/>
      <c r="E40" s="330"/>
      <c r="F40" s="330"/>
      <c r="G40" s="330"/>
      <c r="H40" s="330"/>
      <c r="J40" s="56"/>
      <c r="K40" s="56"/>
      <c r="L40" s="56"/>
      <c r="M40" s="56"/>
      <c r="N40" s="56"/>
      <c r="O40" s="159"/>
      <c r="P40" s="159"/>
      <c r="Q40" s="159"/>
      <c r="R40" s="159"/>
      <c r="S40" s="159"/>
    </row>
    <row r="41" spans="1:20">
      <c r="A41" s="330"/>
      <c r="B41" s="330"/>
      <c r="C41" s="330"/>
      <c r="D41" s="330"/>
      <c r="E41" s="330"/>
      <c r="F41" s="330"/>
      <c r="G41" s="330"/>
      <c r="H41" s="330"/>
      <c r="J41" s="56"/>
      <c r="K41" s="56"/>
      <c r="L41" s="56"/>
      <c r="M41" s="56"/>
      <c r="N41" s="56"/>
      <c r="O41" s="159"/>
      <c r="P41" s="159"/>
      <c r="Q41" s="159"/>
      <c r="R41" s="159"/>
      <c r="S41" s="159"/>
    </row>
    <row r="42" spans="1:20" ht="39" thickBot="1">
      <c r="G42" s="473" t="s">
        <v>162</v>
      </c>
      <c r="H42" s="330"/>
      <c r="I42" s="331" t="s">
        <v>159</v>
      </c>
      <c r="J42" s="56"/>
      <c r="K42" s="56"/>
      <c r="N42" s="56"/>
      <c r="O42" s="56"/>
      <c r="P42" s="56"/>
      <c r="Q42" s="56"/>
      <c r="R42" s="337" t="s">
        <v>109</v>
      </c>
      <c r="S42" s="159"/>
    </row>
    <row r="43" spans="1:20" ht="141.75" thickTop="1" thickBot="1">
      <c r="A43" s="474" t="s">
        <v>163</v>
      </c>
      <c r="B43" s="342"/>
      <c r="C43" s="342"/>
      <c r="D43" s="342"/>
      <c r="E43" s="342"/>
      <c r="F43" s="342"/>
      <c r="G43" s="360" t="s">
        <v>215</v>
      </c>
      <c r="H43" s="462">
        <f>B8*(1+H8)^(B12-B11)-H42</f>
        <v>0</v>
      </c>
      <c r="I43" s="475" t="s">
        <v>157</v>
      </c>
      <c r="J43" s="341"/>
      <c r="K43" s="341"/>
      <c r="L43" s="476" t="s">
        <v>216</v>
      </c>
      <c r="M43" s="463">
        <f>SUM(M18:M23)</f>
        <v>0</v>
      </c>
      <c r="N43" s="341"/>
      <c r="O43" s="341"/>
      <c r="P43" s="341"/>
      <c r="Q43" s="341"/>
      <c r="R43" s="477" t="s">
        <v>217</v>
      </c>
      <c r="S43" s="463">
        <f>O24-S42</f>
        <v>0</v>
      </c>
      <c r="T43" s="478" t="s">
        <v>164</v>
      </c>
    </row>
    <row r="44" spans="1:20" ht="13.5" thickTop="1">
      <c r="J44" s="56"/>
      <c r="K44" s="56"/>
      <c r="L44" s="56"/>
      <c r="M44" s="56"/>
      <c r="N44" s="56"/>
      <c r="O44" s="56"/>
      <c r="P44" s="56"/>
      <c r="Q44" s="56"/>
      <c r="R44" s="56"/>
      <c r="S44" s="56"/>
    </row>
    <row r="45" spans="1:20" s="468" customFormat="1" ht="36">
      <c r="H45" s="469" t="s">
        <v>212</v>
      </c>
      <c r="J45" s="470"/>
      <c r="K45" s="470"/>
      <c r="L45" s="470"/>
      <c r="M45" s="471" t="s">
        <v>212</v>
      </c>
      <c r="N45" s="470"/>
      <c r="O45" s="470"/>
      <c r="P45" s="470"/>
      <c r="Q45" s="470"/>
      <c r="R45" s="470"/>
      <c r="S45" s="471" t="s">
        <v>212</v>
      </c>
    </row>
    <row r="46" spans="1:20">
      <c r="J46" s="56"/>
      <c r="K46" s="56"/>
      <c r="L46" s="56"/>
      <c r="M46" s="56"/>
      <c r="N46" s="56"/>
      <c r="O46" s="56"/>
      <c r="P46" s="56"/>
      <c r="Q46" s="56"/>
      <c r="R46" s="56"/>
      <c r="S46" s="56"/>
    </row>
    <row r="47" spans="1:20">
      <c r="J47" s="56"/>
      <c r="K47" s="56"/>
      <c r="L47" s="56"/>
      <c r="M47" s="56"/>
      <c r="N47" s="56"/>
      <c r="O47" s="56"/>
      <c r="P47" s="56"/>
      <c r="Q47" s="56"/>
      <c r="R47" s="56"/>
      <c r="S47" s="56"/>
    </row>
    <row r="48" spans="1:20" customFormat="1">
      <c r="A48" s="291" t="s">
        <v>141</v>
      </c>
      <c r="B48" s="291" t="s">
        <v>167</v>
      </c>
      <c r="C48" s="293"/>
      <c r="D48" s="293"/>
      <c r="E48" s="298"/>
      <c r="F48" s="298"/>
      <c r="G48" s="299"/>
      <c r="H48" s="294"/>
      <c r="I48" s="294"/>
      <c r="J48" s="472"/>
      <c r="K48" s="472"/>
      <c r="L48" s="472"/>
      <c r="M48" s="472"/>
      <c r="N48" s="472"/>
      <c r="O48" s="472"/>
      <c r="P48" s="472"/>
      <c r="Q48" s="472"/>
      <c r="R48" s="472"/>
      <c r="S48" s="472"/>
      <c r="T48" s="472"/>
    </row>
    <row r="49" spans="1:13" customFormat="1"/>
    <row r="51" spans="1:13" customFormat="1"/>
    <row r="52" spans="1:13" customFormat="1" ht="136.35" customHeight="1">
      <c r="A52" s="498" t="s">
        <v>169</v>
      </c>
      <c r="B52" s="499"/>
      <c r="C52" s="499"/>
      <c r="D52" s="499"/>
      <c r="E52" s="499"/>
      <c r="F52" s="313"/>
      <c r="G52" s="347" t="s">
        <v>219</v>
      </c>
    </row>
    <row r="53" spans="1:13" customFormat="1"/>
    <row r="54" spans="1:13" customFormat="1" ht="81.95" customHeight="1">
      <c r="A54" s="498" t="s">
        <v>171</v>
      </c>
      <c r="B54" s="498"/>
      <c r="C54" s="498"/>
      <c r="D54" s="498"/>
      <c r="E54" s="498"/>
      <c r="F54" s="464">
        <f>F52*(1+H8)^(B12-B11)</f>
        <v>0</v>
      </c>
      <c r="G54" s="465" t="s">
        <v>211</v>
      </c>
    </row>
    <row r="55" spans="1:13" customFormat="1"/>
    <row r="56" spans="1:13" customFormat="1" ht="13.5" thickBot="1"/>
    <row r="57" spans="1:13" customFormat="1" ht="53.1" customHeight="1" thickTop="1" thickBot="1">
      <c r="A57" s="479" t="s">
        <v>166</v>
      </c>
      <c r="B57" s="480"/>
      <c r="C57" s="500" t="s">
        <v>168</v>
      </c>
      <c r="D57" s="500"/>
      <c r="E57" s="500"/>
      <c r="F57" s="466">
        <f>H43-F54+(IF(M43&gt;0,M43,S43))</f>
        <v>0</v>
      </c>
      <c r="G57" s="481" t="s">
        <v>218</v>
      </c>
    </row>
    <row r="58" spans="1:13" ht="13.5" thickTop="1"/>
    <row r="61" spans="1:13" customFormat="1">
      <c r="A61" s="291" t="s">
        <v>152</v>
      </c>
      <c r="B61" s="291" t="s">
        <v>170</v>
      </c>
      <c r="C61" s="293"/>
      <c r="D61" s="293"/>
      <c r="E61" s="298"/>
      <c r="F61" s="298"/>
      <c r="G61" s="298"/>
      <c r="H61" s="299"/>
      <c r="I61" s="299"/>
      <c r="J61" s="300"/>
      <c r="K61" s="294"/>
      <c r="L61" s="294"/>
      <c r="M61" s="294"/>
    </row>
    <row r="62" spans="1:13" customFormat="1"/>
    <row r="63" spans="1:13" customFormat="1">
      <c r="A63" s="356" t="s">
        <v>172</v>
      </c>
      <c r="B63" s="315"/>
      <c r="C63" s="315"/>
      <c r="D63" s="315"/>
      <c r="E63" s="486">
        <f>B8</f>
        <v>0</v>
      </c>
      <c r="F63" s="487" t="s">
        <v>212</v>
      </c>
      <c r="G63" s="315"/>
      <c r="H63" s="315"/>
      <c r="I63" s="315"/>
      <c r="J63" s="315"/>
      <c r="K63" s="315"/>
    </row>
    <row r="64" spans="1:13" s="315" customFormat="1">
      <c r="A64" s="352"/>
    </row>
    <row r="65" spans="1:11" s="315" customFormat="1">
      <c r="A65" s="352"/>
    </row>
    <row r="66" spans="1:11" s="274" customFormat="1" ht="12.95" customHeight="1">
      <c r="A66" s="354" t="s">
        <v>178</v>
      </c>
      <c r="B66" s="354"/>
      <c r="C66" s="354"/>
      <c r="D66" s="354"/>
      <c r="E66" s="354"/>
      <c r="F66" s="355"/>
      <c r="G66" s="352"/>
      <c r="H66" s="355"/>
      <c r="I66" s="352"/>
      <c r="J66" s="355"/>
      <c r="K66" s="355"/>
    </row>
    <row r="67" spans="1:11" customFormat="1">
      <c r="B67" s="501" t="s">
        <v>175</v>
      </c>
      <c r="C67" s="501"/>
      <c r="D67" s="501"/>
      <c r="E67" s="353"/>
      <c r="F67" s="314"/>
      <c r="G67" s="314"/>
      <c r="H67" s="315"/>
      <c r="I67" s="315"/>
      <c r="J67" s="315"/>
      <c r="K67" s="315"/>
    </row>
    <row r="68" spans="1:11" customFormat="1">
      <c r="B68" s="501" t="s">
        <v>176</v>
      </c>
      <c r="C68" s="501"/>
      <c r="D68" s="501"/>
      <c r="E68" s="353"/>
      <c r="F68" s="314"/>
      <c r="G68" s="314"/>
      <c r="H68" s="315"/>
      <c r="I68" s="315"/>
      <c r="J68" s="315"/>
      <c r="K68" s="315"/>
    </row>
    <row r="69" spans="1:11" customFormat="1">
      <c r="B69" s="501" t="s">
        <v>177</v>
      </c>
      <c r="C69" s="501"/>
      <c r="D69" s="501"/>
      <c r="E69" s="353"/>
      <c r="F69" s="314"/>
      <c r="G69" s="314"/>
      <c r="H69" s="315"/>
      <c r="I69" s="315"/>
      <c r="J69" s="315"/>
      <c r="K69" s="315"/>
    </row>
    <row r="70" spans="1:11" customFormat="1" ht="20.45" customHeight="1">
      <c r="B70" s="348" t="s">
        <v>174</v>
      </c>
      <c r="C70" s="348"/>
      <c r="D70" s="348"/>
      <c r="E70" s="482">
        <f>SUM(E67:E69)</f>
        <v>0</v>
      </c>
      <c r="F70" s="487" t="s">
        <v>212</v>
      </c>
    </row>
    <row r="71" spans="1:11" customFormat="1"/>
    <row r="72" spans="1:11" customFormat="1" ht="13.5" thickBot="1"/>
    <row r="73" spans="1:11" customFormat="1" ht="105.6" customHeight="1" thickTop="1" thickBot="1">
      <c r="A73" s="349" t="s">
        <v>173</v>
      </c>
      <c r="B73" s="351"/>
      <c r="C73" s="350" t="s">
        <v>179</v>
      </c>
      <c r="D73" s="350"/>
      <c r="E73" s="483">
        <f>IF((E70+F57)&lt;E63,F57,E63-E70)</f>
        <v>0</v>
      </c>
      <c r="F73" s="502" t="s">
        <v>208</v>
      </c>
      <c r="G73" s="502"/>
      <c r="H73" s="503"/>
      <c r="I73" s="357"/>
    </row>
    <row r="74" spans="1:11" customFormat="1" ht="13.5" thickTop="1"/>
    <row r="75" spans="1:11" ht="36">
      <c r="E75" s="471" t="s">
        <v>212</v>
      </c>
    </row>
  </sheetData>
  <mergeCells count="11">
    <mergeCell ref="A54:E54"/>
    <mergeCell ref="C57:E57"/>
    <mergeCell ref="B69:D69"/>
    <mergeCell ref="F73:H73"/>
    <mergeCell ref="B67:D67"/>
    <mergeCell ref="B68:D68"/>
    <mergeCell ref="D14:F14"/>
    <mergeCell ref="J14:M14"/>
    <mergeCell ref="O14:S14"/>
    <mergeCell ref="I23:I24"/>
    <mergeCell ref="A52:E5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50"/>
  <sheetViews>
    <sheetView workbookViewId="0">
      <selection sqref="A1:K1"/>
    </sheetView>
  </sheetViews>
  <sheetFormatPr defaultColWidth="9.140625" defaultRowHeight="12.75"/>
  <cols>
    <col min="1" max="1" width="13.85546875" style="44" customWidth="1"/>
    <col min="2" max="2" width="10.85546875" style="1" customWidth="1"/>
    <col min="3" max="3" width="10.5703125" style="43" customWidth="1"/>
    <col min="4" max="4" width="8.85546875" style="43" customWidth="1"/>
    <col min="5" max="5" width="7.85546875" style="1" customWidth="1"/>
    <col min="6" max="6" width="8.85546875" style="1" customWidth="1"/>
    <col min="7" max="7" width="15.42578125" style="1" customWidth="1"/>
    <col min="8" max="8" width="10.140625" style="1" customWidth="1"/>
    <col min="9" max="9" width="14.140625" style="1" customWidth="1"/>
    <col min="10" max="10" width="12" style="1" customWidth="1"/>
    <col min="11" max="16384" width="9.140625" style="1"/>
  </cols>
  <sheetData>
    <row r="1" spans="1:12" s="432" customFormat="1" ht="46.35" customHeight="1">
      <c r="A1" s="295" t="s">
        <v>186</v>
      </c>
      <c r="B1" s="508" t="s">
        <v>187</v>
      </c>
      <c r="C1" s="508"/>
      <c r="D1" s="508"/>
      <c r="E1" s="508"/>
      <c r="F1" s="508"/>
      <c r="G1" s="508"/>
      <c r="H1" s="508"/>
      <c r="I1" s="508"/>
      <c r="J1" s="508"/>
      <c r="K1" s="508"/>
    </row>
    <row r="3" spans="1:12">
      <c r="A3" s="291" t="s">
        <v>149</v>
      </c>
      <c r="B3" s="292" t="s">
        <v>150</v>
      </c>
      <c r="C3" s="293"/>
      <c r="D3" s="293"/>
      <c r="E3" s="294"/>
      <c r="F3" s="294"/>
      <c r="G3" s="294"/>
      <c r="H3" s="294"/>
      <c r="I3" s="294"/>
      <c r="J3" s="294"/>
      <c r="K3" s="294"/>
    </row>
    <row r="4" spans="1:12">
      <c r="A4" s="76"/>
    </row>
    <row r="5" spans="1:12">
      <c r="A5" s="75" t="s">
        <v>75</v>
      </c>
      <c r="B5" s="73"/>
      <c r="C5" s="74"/>
      <c r="D5" s="74"/>
      <c r="E5" s="73"/>
      <c r="F5" s="73"/>
      <c r="G5" s="73"/>
      <c r="H5" s="73"/>
      <c r="J5" s="45"/>
    </row>
    <row r="6" spans="1:12">
      <c r="A6" s="72" t="s">
        <v>63</v>
      </c>
      <c r="B6" s="71">
        <v>300</v>
      </c>
      <c r="G6" s="1" t="s">
        <v>62</v>
      </c>
      <c r="H6" s="41">
        <v>0.09</v>
      </c>
      <c r="J6" s="45"/>
    </row>
    <row r="7" spans="1:12" s="45" customFormat="1">
      <c r="A7" s="70" t="s">
        <v>61</v>
      </c>
      <c r="B7" s="69">
        <v>0.02</v>
      </c>
      <c r="C7" s="46"/>
      <c r="D7" s="46"/>
      <c r="G7" s="66"/>
      <c r="H7" s="112"/>
      <c r="J7" s="504"/>
      <c r="K7" s="504"/>
    </row>
    <row r="8" spans="1:12" s="45" customFormat="1" ht="15" customHeight="1">
      <c r="A8" s="68" t="s">
        <v>60</v>
      </c>
      <c r="B8" s="67" t="s">
        <v>59</v>
      </c>
      <c r="C8" s="46"/>
      <c r="D8" s="46"/>
      <c r="K8" s="51"/>
    </row>
    <row r="9" spans="1:12" s="45" customFormat="1" ht="15" customHeight="1">
      <c r="A9" s="65"/>
      <c r="B9" s="64"/>
      <c r="C9" s="46"/>
      <c r="D9" s="46"/>
    </row>
    <row r="10" spans="1:12" s="57" customFormat="1" ht="43.5" customHeight="1">
      <c r="A10" s="505" t="s">
        <v>185</v>
      </c>
      <c r="B10" s="505"/>
      <c r="C10" s="505"/>
      <c r="D10" s="505"/>
      <c r="E10" s="505"/>
      <c r="F10" s="505"/>
      <c r="G10" s="505"/>
      <c r="H10" s="505"/>
      <c r="I10" s="111"/>
      <c r="J10" s="506" t="s">
        <v>139</v>
      </c>
      <c r="K10" s="506"/>
      <c r="L10" s="111"/>
    </row>
    <row r="11" spans="1:12" s="63" customFormat="1" ht="44.25" customHeight="1">
      <c r="A11" s="109" t="s">
        <v>57</v>
      </c>
      <c r="B11" s="106" t="s">
        <v>56</v>
      </c>
      <c r="C11" s="108" t="s">
        <v>55</v>
      </c>
      <c r="D11" s="108" t="s">
        <v>54</v>
      </c>
      <c r="E11" s="106" t="s">
        <v>53</v>
      </c>
      <c r="F11" s="106" t="s">
        <v>52</v>
      </c>
      <c r="G11" s="106" t="s">
        <v>51</v>
      </c>
      <c r="H11" s="106" t="s">
        <v>50</v>
      </c>
      <c r="I11" s="107"/>
      <c r="J11" s="396" t="s">
        <v>138</v>
      </c>
      <c r="K11" s="396" t="s">
        <v>50</v>
      </c>
      <c r="L11" s="107"/>
    </row>
    <row r="12" spans="1:12" s="45" customFormat="1">
      <c r="A12" s="95"/>
      <c r="B12" s="2"/>
      <c r="C12" s="94"/>
      <c r="D12" s="94"/>
      <c r="E12" s="2"/>
      <c r="F12" s="2"/>
      <c r="G12" s="2"/>
      <c r="H12" s="2"/>
      <c r="I12" s="2"/>
      <c r="J12" s="378"/>
      <c r="K12" s="378"/>
      <c r="L12" s="2"/>
    </row>
    <row r="13" spans="1:12" s="45" customFormat="1">
      <c r="A13" s="100" t="s">
        <v>74</v>
      </c>
      <c r="B13" s="2"/>
      <c r="C13" s="94"/>
      <c r="D13" s="94"/>
      <c r="E13" s="2"/>
      <c r="F13" s="2"/>
      <c r="G13" s="105"/>
      <c r="H13" s="2"/>
      <c r="I13" s="2"/>
      <c r="J13" s="378"/>
      <c r="K13" s="378"/>
      <c r="L13" s="2"/>
    </row>
    <row r="14" spans="1:12" s="45" customFormat="1">
      <c r="A14" s="100" t="s">
        <v>73</v>
      </c>
      <c r="B14" s="101">
        <v>1</v>
      </c>
      <c r="C14" s="104">
        <f>$B$6</f>
        <v>300</v>
      </c>
      <c r="D14" s="104"/>
      <c r="E14" s="104">
        <f t="shared" ref="E14:E31" si="0">C14*$B$7</f>
        <v>6</v>
      </c>
      <c r="F14" s="104">
        <f t="shared" ref="F14:F31" si="1">D14+E14</f>
        <v>6</v>
      </c>
      <c r="G14" s="104">
        <f t="shared" ref="G14:G31" si="2">(1+$H$6)^B14</f>
        <v>1.0900000000000001</v>
      </c>
      <c r="H14" s="104">
        <f t="shared" ref="H14:H31" si="3">F14/G14</f>
        <v>5.5045871559633026</v>
      </c>
      <c r="I14" s="2"/>
      <c r="J14" s="434">
        <f>(1+$H$6)^(B14-$B$20)</f>
        <v>0.5962673268792158</v>
      </c>
      <c r="K14" s="288">
        <f t="shared" ref="K14:K31" si="4">F14/J14</f>
        <v>10.062600665046004</v>
      </c>
      <c r="L14" s="2"/>
    </row>
    <row r="15" spans="1:12" s="45" customFormat="1">
      <c r="A15" s="100" t="s">
        <v>72</v>
      </c>
      <c r="B15" s="101">
        <v>2</v>
      </c>
      <c r="C15" s="104">
        <f>$B$6</f>
        <v>300</v>
      </c>
      <c r="D15" s="104"/>
      <c r="E15" s="104">
        <f t="shared" si="0"/>
        <v>6</v>
      </c>
      <c r="F15" s="104">
        <f t="shared" si="1"/>
        <v>6</v>
      </c>
      <c r="G15" s="104">
        <f t="shared" si="2"/>
        <v>1.1881000000000002</v>
      </c>
      <c r="H15" s="104">
        <f t="shared" si="3"/>
        <v>5.0500799595993593</v>
      </c>
      <c r="I15" s="2"/>
      <c r="J15" s="434">
        <f t="shared" ref="J15:J31" si="5">(1+$H$6)^(B15-$B$20)</f>
        <v>0.64993138629834524</v>
      </c>
      <c r="K15" s="288">
        <f t="shared" si="4"/>
        <v>9.2317437294000033</v>
      </c>
      <c r="L15" s="2"/>
    </row>
    <row r="16" spans="1:12" s="45" customFormat="1">
      <c r="A16" s="100" t="s">
        <v>71</v>
      </c>
      <c r="B16" s="101">
        <v>3</v>
      </c>
      <c r="C16" s="104">
        <f>$B$6</f>
        <v>300</v>
      </c>
      <c r="D16" s="104"/>
      <c r="E16" s="104">
        <f t="shared" si="0"/>
        <v>6</v>
      </c>
      <c r="F16" s="104">
        <f t="shared" si="1"/>
        <v>6</v>
      </c>
      <c r="G16" s="104">
        <f t="shared" si="2"/>
        <v>1.2950290000000002</v>
      </c>
      <c r="H16" s="104">
        <f t="shared" si="3"/>
        <v>4.6331008803663849</v>
      </c>
      <c r="I16" s="2"/>
      <c r="J16" s="434">
        <f t="shared" si="5"/>
        <v>0.7084252110651964</v>
      </c>
      <c r="K16" s="288">
        <f t="shared" si="4"/>
        <v>8.4694896600000025</v>
      </c>
      <c r="L16" s="2"/>
    </row>
    <row r="17" spans="1:12" s="45" customFormat="1">
      <c r="A17" s="100" t="s">
        <v>70</v>
      </c>
      <c r="B17" s="101">
        <v>4</v>
      </c>
      <c r="C17" s="104">
        <f>$B$6</f>
        <v>300</v>
      </c>
      <c r="D17" s="104"/>
      <c r="E17" s="104">
        <f t="shared" si="0"/>
        <v>6</v>
      </c>
      <c r="F17" s="104">
        <f t="shared" si="1"/>
        <v>6</v>
      </c>
      <c r="G17" s="104">
        <f t="shared" si="2"/>
        <v>1.4115816100000003</v>
      </c>
      <c r="H17" s="104">
        <f t="shared" si="3"/>
        <v>4.2505512663911791</v>
      </c>
      <c r="I17" s="2"/>
      <c r="J17" s="434">
        <f t="shared" si="5"/>
        <v>0.77218348006106419</v>
      </c>
      <c r="K17" s="288">
        <f t="shared" si="4"/>
        <v>7.7701740000000008</v>
      </c>
      <c r="L17" s="2"/>
    </row>
    <row r="18" spans="1:12" s="45" customFormat="1">
      <c r="A18" s="100" t="s">
        <v>69</v>
      </c>
      <c r="B18" s="101">
        <v>5</v>
      </c>
      <c r="C18" s="104">
        <f t="shared" ref="C18:C31" si="6">C17-D17</f>
        <v>300</v>
      </c>
      <c r="D18" s="104"/>
      <c r="E18" s="104">
        <f t="shared" si="0"/>
        <v>6</v>
      </c>
      <c r="F18" s="104">
        <f t="shared" si="1"/>
        <v>6</v>
      </c>
      <c r="G18" s="104">
        <f t="shared" si="2"/>
        <v>1.5386239549000005</v>
      </c>
      <c r="H18" s="104">
        <f t="shared" si="3"/>
        <v>3.8995883177900716</v>
      </c>
      <c r="I18" s="2"/>
      <c r="J18" s="434">
        <f t="shared" si="5"/>
        <v>0.84167999326655996</v>
      </c>
      <c r="K18" s="288">
        <f t="shared" si="4"/>
        <v>7.1286000000000005</v>
      </c>
      <c r="L18" s="2"/>
    </row>
    <row r="19" spans="1:12" s="45" customFormat="1">
      <c r="A19" s="176" t="s">
        <v>68</v>
      </c>
      <c r="B19" s="175">
        <v>6</v>
      </c>
      <c r="C19" s="102">
        <f t="shared" si="6"/>
        <v>300</v>
      </c>
      <c r="D19" s="102">
        <f>$B$6/13</f>
        <v>23.076923076923077</v>
      </c>
      <c r="E19" s="102">
        <f t="shared" si="0"/>
        <v>6</v>
      </c>
      <c r="F19" s="102">
        <f t="shared" si="1"/>
        <v>29.076923076923077</v>
      </c>
      <c r="G19" s="102">
        <f t="shared" si="2"/>
        <v>1.6771001108410006</v>
      </c>
      <c r="H19" s="102">
        <f t="shared" si="3"/>
        <v>17.337619196949507</v>
      </c>
      <c r="I19" s="110"/>
      <c r="J19" s="434">
        <f t="shared" si="5"/>
        <v>0.9174311926605504</v>
      </c>
      <c r="K19" s="288">
        <f t="shared" si="4"/>
        <v>31.693846153846156</v>
      </c>
      <c r="L19" s="2"/>
    </row>
    <row r="20" spans="1:12" s="45" customFormat="1" ht="12.75" customHeight="1">
      <c r="A20" s="176" t="s">
        <v>49</v>
      </c>
      <c r="B20" s="175">
        <v>7</v>
      </c>
      <c r="C20" s="102">
        <f t="shared" si="6"/>
        <v>276.92307692307691</v>
      </c>
      <c r="D20" s="102">
        <f t="shared" ref="D20:D31" si="7">$B$6/13</f>
        <v>23.076923076923077</v>
      </c>
      <c r="E20" s="102">
        <f t="shared" si="0"/>
        <v>5.5384615384615383</v>
      </c>
      <c r="F20" s="102">
        <f t="shared" si="1"/>
        <v>28.615384615384613</v>
      </c>
      <c r="G20" s="102">
        <f t="shared" si="2"/>
        <v>1.8280391208166906</v>
      </c>
      <c r="H20" s="102">
        <f t="shared" si="3"/>
        <v>15.653595313978</v>
      </c>
      <c r="I20" s="2"/>
      <c r="J20" s="434">
        <f t="shared" si="5"/>
        <v>1</v>
      </c>
      <c r="K20" s="288">
        <f t="shared" si="4"/>
        <v>28.615384615384613</v>
      </c>
      <c r="L20" s="2"/>
    </row>
    <row r="21" spans="1:12" s="45" customFormat="1">
      <c r="A21" s="100" t="s">
        <v>48</v>
      </c>
      <c r="B21" s="101">
        <v>8</v>
      </c>
      <c r="C21" s="104">
        <f t="shared" si="6"/>
        <v>253.84615384615384</v>
      </c>
      <c r="D21" s="104">
        <f t="shared" si="7"/>
        <v>23.076923076923077</v>
      </c>
      <c r="E21" s="104">
        <f t="shared" si="0"/>
        <v>5.0769230769230766</v>
      </c>
      <c r="F21" s="104">
        <f t="shared" si="1"/>
        <v>28.153846153846153</v>
      </c>
      <c r="G21" s="104">
        <f t="shared" si="2"/>
        <v>1.9925626416901929</v>
      </c>
      <c r="H21" s="104">
        <f t="shared" si="3"/>
        <v>14.12946602771024</v>
      </c>
      <c r="I21" s="2"/>
      <c r="J21" s="434">
        <f t="shared" si="5"/>
        <v>1.0900000000000001</v>
      </c>
      <c r="K21" s="288">
        <f t="shared" si="4"/>
        <v>25.829216654904727</v>
      </c>
      <c r="L21" s="2"/>
    </row>
    <row r="22" spans="1:12" s="45" customFormat="1">
      <c r="A22" s="100" t="s">
        <v>47</v>
      </c>
      <c r="B22" s="101">
        <v>9</v>
      </c>
      <c r="C22" s="104">
        <f t="shared" si="6"/>
        <v>230.76923076923077</v>
      </c>
      <c r="D22" s="104">
        <f t="shared" si="7"/>
        <v>23.076923076923077</v>
      </c>
      <c r="E22" s="104">
        <f t="shared" si="0"/>
        <v>4.6153846153846159</v>
      </c>
      <c r="F22" s="104">
        <f t="shared" si="1"/>
        <v>27.692307692307693</v>
      </c>
      <c r="G22" s="104">
        <f t="shared" si="2"/>
        <v>2.1718932794423105</v>
      </c>
      <c r="H22" s="104">
        <f t="shared" si="3"/>
        <v>12.750307740451412</v>
      </c>
      <c r="I22" s="2"/>
      <c r="J22" s="434">
        <f t="shared" si="5"/>
        <v>1.1881000000000002</v>
      </c>
      <c r="K22" s="288">
        <f t="shared" si="4"/>
        <v>23.308061351997047</v>
      </c>
      <c r="L22" s="2"/>
    </row>
    <row r="23" spans="1:12" s="45" customFormat="1">
      <c r="A23" s="100" t="s">
        <v>46</v>
      </c>
      <c r="B23" s="101">
        <v>10</v>
      </c>
      <c r="C23" s="104">
        <f t="shared" si="6"/>
        <v>207.69230769230771</v>
      </c>
      <c r="D23" s="104">
        <f t="shared" si="7"/>
        <v>23.076923076923077</v>
      </c>
      <c r="E23" s="104">
        <f t="shared" si="0"/>
        <v>4.1538461538461542</v>
      </c>
      <c r="F23" s="104">
        <f t="shared" si="1"/>
        <v>27.23076923076923</v>
      </c>
      <c r="G23" s="104">
        <f t="shared" si="2"/>
        <v>2.3673636745921187</v>
      </c>
      <c r="H23" s="104">
        <f t="shared" si="3"/>
        <v>11.502571203159528</v>
      </c>
      <c r="I23" s="2"/>
      <c r="J23" s="434">
        <f t="shared" si="5"/>
        <v>1.2950290000000002</v>
      </c>
      <c r="K23" s="288">
        <f t="shared" si="4"/>
        <v>21.02715014935513</v>
      </c>
      <c r="L23" s="2"/>
    </row>
    <row r="24" spans="1:12" s="45" customFormat="1">
      <c r="A24" s="100" t="s">
        <v>45</v>
      </c>
      <c r="B24" s="101">
        <v>11</v>
      </c>
      <c r="C24" s="104">
        <f t="shared" si="6"/>
        <v>184.61538461538464</v>
      </c>
      <c r="D24" s="104">
        <f t="shared" si="7"/>
        <v>23.076923076923077</v>
      </c>
      <c r="E24" s="104">
        <f t="shared" si="0"/>
        <v>3.692307692307693</v>
      </c>
      <c r="F24" s="104">
        <f t="shared" si="1"/>
        <v>26.76923076923077</v>
      </c>
      <c r="G24" s="104">
        <f t="shared" si="2"/>
        <v>2.5804264053054093</v>
      </c>
      <c r="H24" s="104">
        <f t="shared" si="3"/>
        <v>10.373956302025388</v>
      </c>
      <c r="I24" s="2"/>
      <c r="J24" s="434">
        <f t="shared" si="5"/>
        <v>1.4115816100000003</v>
      </c>
      <c r="K24" s="288">
        <f t="shared" si="4"/>
        <v>18.96399795774526</v>
      </c>
      <c r="L24" s="2"/>
    </row>
    <row r="25" spans="1:12" s="45" customFormat="1">
      <c r="A25" s="100" t="s">
        <v>44</v>
      </c>
      <c r="B25" s="101">
        <v>12</v>
      </c>
      <c r="C25" s="104">
        <f t="shared" si="6"/>
        <v>161.53846153846158</v>
      </c>
      <c r="D25" s="104">
        <f t="shared" si="7"/>
        <v>23.076923076923077</v>
      </c>
      <c r="E25" s="104">
        <f t="shared" si="0"/>
        <v>3.2307692307692317</v>
      </c>
      <c r="F25" s="104">
        <f t="shared" si="1"/>
        <v>26.307692307692307</v>
      </c>
      <c r="G25" s="104">
        <f t="shared" si="2"/>
        <v>2.812664781782896</v>
      </c>
      <c r="H25" s="104">
        <f t="shared" si="3"/>
        <v>9.3532981527277297</v>
      </c>
      <c r="I25" s="2"/>
      <c r="J25" s="434">
        <f t="shared" si="5"/>
        <v>1.5386239549000005</v>
      </c>
      <c r="K25" s="288">
        <f t="shared" si="4"/>
        <v>17.098194931848774</v>
      </c>
      <c r="L25" s="2"/>
    </row>
    <row r="26" spans="1:12" s="45" customFormat="1">
      <c r="A26" s="100" t="s">
        <v>43</v>
      </c>
      <c r="B26" s="101">
        <v>13</v>
      </c>
      <c r="C26" s="104">
        <f t="shared" si="6"/>
        <v>138.46153846153851</v>
      </c>
      <c r="D26" s="104">
        <f t="shared" si="7"/>
        <v>23.076923076923077</v>
      </c>
      <c r="E26" s="104">
        <f t="shared" si="0"/>
        <v>2.7692307692307701</v>
      </c>
      <c r="F26" s="104">
        <f t="shared" si="1"/>
        <v>25.846153846153847</v>
      </c>
      <c r="G26" s="104">
        <f t="shared" si="2"/>
        <v>3.0658046121433573</v>
      </c>
      <c r="H26" s="104">
        <f t="shared" si="3"/>
        <v>8.4304634886971321</v>
      </c>
      <c r="I26" s="2"/>
      <c r="J26" s="434">
        <f t="shared" si="5"/>
        <v>1.6771001108410006</v>
      </c>
      <c r="K26" s="288">
        <f t="shared" si="4"/>
        <v>15.411217063955117</v>
      </c>
      <c r="L26" s="2"/>
    </row>
    <row r="27" spans="1:12" s="45" customFormat="1">
      <c r="A27" s="100" t="s">
        <v>42</v>
      </c>
      <c r="B27" s="101">
        <v>14</v>
      </c>
      <c r="C27" s="104">
        <f t="shared" si="6"/>
        <v>115.38461538461543</v>
      </c>
      <c r="D27" s="104">
        <f t="shared" si="7"/>
        <v>23.076923076923077</v>
      </c>
      <c r="E27" s="104">
        <f t="shared" si="0"/>
        <v>2.3076923076923088</v>
      </c>
      <c r="F27" s="104">
        <f t="shared" si="1"/>
        <v>25.384615384615387</v>
      </c>
      <c r="G27" s="104">
        <f t="shared" si="2"/>
        <v>3.3417270272362596</v>
      </c>
      <c r="H27" s="104">
        <f t="shared" si="3"/>
        <v>7.5962564200252665</v>
      </c>
      <c r="I27" s="2"/>
      <c r="J27" s="434">
        <f t="shared" si="5"/>
        <v>1.8280391208166906</v>
      </c>
      <c r="K27" s="288">
        <f t="shared" si="4"/>
        <v>13.886253907561132</v>
      </c>
      <c r="L27" s="2"/>
    </row>
    <row r="28" spans="1:12" s="45" customFormat="1">
      <c r="A28" s="100" t="s">
        <v>41</v>
      </c>
      <c r="B28" s="101">
        <v>15</v>
      </c>
      <c r="C28" s="104">
        <f t="shared" si="6"/>
        <v>92.307692307692349</v>
      </c>
      <c r="D28" s="104">
        <f t="shared" si="7"/>
        <v>23.076923076923077</v>
      </c>
      <c r="E28" s="104">
        <f t="shared" si="0"/>
        <v>1.8461538461538469</v>
      </c>
      <c r="F28" s="104">
        <f t="shared" si="1"/>
        <v>24.923076923076923</v>
      </c>
      <c r="G28" s="104">
        <f t="shared" si="2"/>
        <v>3.6424824596875229</v>
      </c>
      <c r="H28" s="104">
        <f t="shared" si="3"/>
        <v>6.8423327219577041</v>
      </c>
      <c r="I28" s="2"/>
      <c r="J28" s="434">
        <f t="shared" si="5"/>
        <v>1.9925626416901929</v>
      </c>
      <c r="K28" s="288">
        <f t="shared" si="4"/>
        <v>12.508051893382836</v>
      </c>
      <c r="L28" s="2"/>
    </row>
    <row r="29" spans="1:12" s="45" customFormat="1">
      <c r="A29" s="100" t="s">
        <v>40</v>
      </c>
      <c r="B29" s="101">
        <v>16</v>
      </c>
      <c r="C29" s="104">
        <f t="shared" si="6"/>
        <v>69.230769230769269</v>
      </c>
      <c r="D29" s="104">
        <f t="shared" si="7"/>
        <v>23.076923076923077</v>
      </c>
      <c r="E29" s="104">
        <f t="shared" si="0"/>
        <v>1.3846153846153855</v>
      </c>
      <c r="F29" s="104">
        <f t="shared" si="1"/>
        <v>24.461538461538463</v>
      </c>
      <c r="G29" s="104">
        <f t="shared" si="2"/>
        <v>3.9703058810594003</v>
      </c>
      <c r="H29" s="104">
        <f t="shared" si="3"/>
        <v>6.161121886914005</v>
      </c>
      <c r="I29" s="2"/>
      <c r="J29" s="434">
        <f t="shared" si="5"/>
        <v>2.1718932794423105</v>
      </c>
      <c r="K29" s="288">
        <f t="shared" si="4"/>
        <v>11.262771837398748</v>
      </c>
      <c r="L29" s="2"/>
    </row>
    <row r="30" spans="1:12" s="45" customFormat="1">
      <c r="A30" s="100" t="s">
        <v>39</v>
      </c>
      <c r="B30" s="101">
        <v>17</v>
      </c>
      <c r="C30" s="104">
        <f t="shared" si="6"/>
        <v>46.153846153846189</v>
      </c>
      <c r="D30" s="104">
        <f t="shared" si="7"/>
        <v>23.076923076923077</v>
      </c>
      <c r="E30" s="104">
        <f t="shared" si="0"/>
        <v>0.92307692307692379</v>
      </c>
      <c r="F30" s="104">
        <f t="shared" si="1"/>
        <v>24</v>
      </c>
      <c r="G30" s="104">
        <f t="shared" si="2"/>
        <v>4.3276334103547462</v>
      </c>
      <c r="H30" s="104">
        <f t="shared" si="3"/>
        <v>5.5457562423321489</v>
      </c>
      <c r="I30" s="2"/>
      <c r="J30" s="434">
        <f t="shared" si="5"/>
        <v>2.3673636745921187</v>
      </c>
      <c r="K30" s="288">
        <f t="shared" si="4"/>
        <v>10.137859365496533</v>
      </c>
      <c r="L30" s="2"/>
    </row>
    <row r="31" spans="1:12" s="45" customFormat="1">
      <c r="A31" s="100" t="s">
        <v>38</v>
      </c>
      <c r="B31" s="101">
        <v>18</v>
      </c>
      <c r="C31" s="104">
        <f t="shared" si="6"/>
        <v>23.076923076923112</v>
      </c>
      <c r="D31" s="104">
        <f t="shared" si="7"/>
        <v>23.076923076923077</v>
      </c>
      <c r="E31" s="104">
        <f t="shared" si="0"/>
        <v>0.46153846153846223</v>
      </c>
      <c r="F31" s="104">
        <f t="shared" si="1"/>
        <v>23.53846153846154</v>
      </c>
      <c r="G31" s="104">
        <f t="shared" si="2"/>
        <v>4.7171204172866741</v>
      </c>
      <c r="H31" s="104">
        <f t="shared" si="3"/>
        <v>4.9900064989227166</v>
      </c>
      <c r="I31" s="2"/>
      <c r="J31" s="434">
        <f t="shared" si="5"/>
        <v>2.5804264053054093</v>
      </c>
      <c r="K31" s="288">
        <f t="shared" si="4"/>
        <v>9.1219270931602559</v>
      </c>
      <c r="L31" s="2"/>
    </row>
    <row r="32" spans="1:12" s="45" customFormat="1">
      <c r="A32" s="100"/>
      <c r="B32" s="101"/>
      <c r="C32" s="101"/>
      <c r="D32" s="101"/>
      <c r="E32" s="99"/>
      <c r="F32" s="99"/>
      <c r="G32" s="99"/>
      <c r="H32" s="99"/>
      <c r="I32" s="99"/>
      <c r="J32" s="99"/>
      <c r="K32" s="99"/>
      <c r="L32" s="99"/>
    </row>
    <row r="33" spans="1:12" s="45" customFormat="1">
      <c r="A33" s="100"/>
      <c r="B33" s="101"/>
      <c r="C33" s="101"/>
      <c r="D33" s="101"/>
      <c r="E33" s="99"/>
      <c r="F33" s="98" t="s">
        <v>67</v>
      </c>
      <c r="G33" s="99"/>
      <c r="H33" s="140">
        <f>SUM(H14:H31)</f>
        <v>154.0046587759611</v>
      </c>
      <c r="K33" s="99"/>
      <c r="L33" s="99"/>
    </row>
    <row r="34" spans="1:12" s="45" customFormat="1">
      <c r="A34" s="100"/>
      <c r="B34" s="101"/>
      <c r="C34" s="101"/>
      <c r="D34" s="101"/>
      <c r="E34" s="99"/>
      <c r="F34" s="99"/>
      <c r="G34" s="98" t="s">
        <v>66</v>
      </c>
      <c r="H34" s="97">
        <f>B6-H33</f>
        <v>145.9953412240389</v>
      </c>
      <c r="I34" s="99"/>
      <c r="J34" s="99"/>
      <c r="K34" s="99"/>
      <c r="L34" s="99"/>
    </row>
    <row r="35" spans="1:12" s="45" customFormat="1">
      <c r="A35" s="100"/>
      <c r="B35" s="101"/>
      <c r="C35" s="101"/>
      <c r="D35" s="101"/>
      <c r="E35" s="99"/>
      <c r="F35" s="99"/>
      <c r="G35" s="2"/>
      <c r="H35" s="2"/>
      <c r="I35" s="99"/>
      <c r="J35" s="99"/>
      <c r="K35" s="99"/>
      <c r="L35" s="99"/>
    </row>
    <row r="36" spans="1:12" s="45" customFormat="1">
      <c r="A36" s="100"/>
      <c r="B36" s="101"/>
      <c r="C36" s="101"/>
      <c r="D36" s="101"/>
      <c r="E36" s="99"/>
      <c r="F36" s="99"/>
      <c r="G36" s="429" t="s">
        <v>184</v>
      </c>
      <c r="H36" s="430">
        <f>(B6-H33)/B6</f>
        <v>0.486651137413463</v>
      </c>
      <c r="I36" s="99"/>
      <c r="J36" s="99"/>
      <c r="K36" s="99"/>
      <c r="L36" s="99"/>
    </row>
    <row r="37" spans="1:12" s="45" customFormat="1" ht="15.75" customHeight="1">
      <c r="A37" s="100"/>
      <c r="B37" s="101"/>
      <c r="C37" s="101"/>
      <c r="D37" s="101"/>
      <c r="E37" s="99"/>
      <c r="F37" s="99"/>
      <c r="G37" s="99"/>
      <c r="H37" s="99"/>
      <c r="I37" s="99"/>
      <c r="J37" s="99"/>
      <c r="K37" s="99"/>
      <c r="L37" s="99"/>
    </row>
    <row r="38" spans="1:12" s="45" customFormat="1">
      <c r="A38" s="100"/>
      <c r="B38" s="101"/>
      <c r="C38" s="101"/>
      <c r="D38" s="101"/>
      <c r="E38" s="99"/>
      <c r="F38" s="99"/>
      <c r="G38" s="99"/>
      <c r="H38" s="99"/>
      <c r="I38" s="99"/>
      <c r="J38" s="99"/>
      <c r="K38" s="99"/>
      <c r="L38" s="99"/>
    </row>
    <row r="39" spans="1:12" s="45" customFormat="1">
      <c r="A39" s="100"/>
      <c r="B39" s="101"/>
      <c r="C39" s="101"/>
      <c r="D39" s="101"/>
      <c r="E39" s="99"/>
      <c r="F39" s="99"/>
      <c r="G39" s="99"/>
      <c r="H39" s="99"/>
      <c r="I39" s="99"/>
      <c r="J39" s="99"/>
      <c r="K39" s="99"/>
      <c r="L39" s="99"/>
    </row>
    <row r="40" spans="1:12" s="45" customFormat="1">
      <c r="A40" s="100"/>
      <c r="B40" s="101"/>
      <c r="C40" s="101"/>
      <c r="D40" s="101"/>
      <c r="E40" s="99"/>
      <c r="F40" s="99"/>
      <c r="G40" s="99"/>
      <c r="H40" s="99"/>
      <c r="I40" s="99"/>
      <c r="J40" s="99"/>
      <c r="K40" s="99"/>
      <c r="L40" s="99"/>
    </row>
    <row r="41" spans="1:12" s="45" customFormat="1">
      <c r="A41" s="100"/>
      <c r="B41" s="101"/>
      <c r="C41" s="101"/>
      <c r="D41" s="101"/>
      <c r="E41" s="99"/>
      <c r="F41" s="99"/>
      <c r="G41" s="99"/>
      <c r="H41" s="99"/>
      <c r="I41" s="99"/>
      <c r="J41" s="99"/>
      <c r="K41" s="99"/>
      <c r="L41" s="99"/>
    </row>
    <row r="42" spans="1:12" s="45" customFormat="1" ht="20.25" customHeight="1">
      <c r="A42" s="100"/>
      <c r="B42" s="101"/>
      <c r="C42" s="101"/>
      <c r="D42" s="101"/>
      <c r="E42" s="99"/>
      <c r="F42" s="99"/>
      <c r="G42" s="99"/>
      <c r="H42" s="99"/>
      <c r="I42" s="99"/>
      <c r="J42" s="99"/>
      <c r="K42" s="99"/>
      <c r="L42" s="99"/>
    </row>
    <row r="43" spans="1:12" s="45" customFormat="1">
      <c r="A43" s="100"/>
      <c r="B43" s="101"/>
      <c r="C43" s="101"/>
      <c r="D43" s="101"/>
      <c r="E43" s="99"/>
      <c r="F43" s="99"/>
      <c r="G43" s="99"/>
      <c r="H43" s="99"/>
      <c r="I43" s="99"/>
      <c r="J43" s="99"/>
      <c r="K43" s="99"/>
      <c r="L43" s="99"/>
    </row>
    <row r="44" spans="1:12">
      <c r="A44" s="100"/>
      <c r="B44" s="101"/>
      <c r="C44" s="101"/>
      <c r="D44" s="101"/>
      <c r="E44" s="99"/>
      <c r="F44" s="99"/>
      <c r="G44" s="99"/>
      <c r="H44" s="99"/>
      <c r="I44" s="99"/>
      <c r="J44" s="99"/>
      <c r="K44" s="99"/>
      <c r="L44" s="99"/>
    </row>
    <row r="45" spans="1:12">
      <c r="A45" s="100"/>
      <c r="B45" s="101"/>
      <c r="C45" s="101"/>
      <c r="D45" s="101"/>
      <c r="E45" s="99"/>
      <c r="F45" s="99"/>
      <c r="G45" s="99"/>
      <c r="H45" s="99"/>
      <c r="I45" s="99"/>
      <c r="J45" s="99"/>
      <c r="K45" s="99"/>
      <c r="L45" s="99"/>
    </row>
    <row r="46" spans="1:12">
      <c r="A46" s="100"/>
      <c r="D46" s="99"/>
      <c r="E46" s="99"/>
      <c r="F46" s="99"/>
      <c r="G46" s="99"/>
      <c r="H46" s="99"/>
      <c r="I46" s="99"/>
      <c r="J46" s="99"/>
      <c r="K46" s="99"/>
      <c r="L46" s="99"/>
    </row>
    <row r="47" spans="1:12" s="2" customFormat="1">
      <c r="A47" s="95"/>
      <c r="C47" s="94"/>
      <c r="D47" s="94"/>
      <c r="J47" s="98"/>
      <c r="K47" s="96"/>
    </row>
    <row r="48" spans="1:12" s="2" customFormat="1">
      <c r="A48" s="95"/>
      <c r="C48" s="94"/>
      <c r="D48" s="94"/>
      <c r="I48" s="507"/>
      <c r="J48" s="507"/>
      <c r="K48" s="96"/>
      <c r="L48" s="285"/>
    </row>
    <row r="49" spans="1:4" s="2" customFormat="1">
      <c r="A49" s="95"/>
      <c r="C49" s="94"/>
      <c r="D49" s="94"/>
    </row>
    <row r="50" spans="1:4" s="2" customFormat="1">
      <c r="A50" s="95"/>
      <c r="C50" s="94"/>
      <c r="D50" s="94"/>
    </row>
  </sheetData>
  <mergeCells count="5">
    <mergeCell ref="J7:K7"/>
    <mergeCell ref="A10:H10"/>
    <mergeCell ref="J10:K10"/>
    <mergeCell ref="I48:J48"/>
    <mergeCell ref="B1:K1"/>
  </mergeCells>
  <pageMargins left="0.18" right="0.17" top="0.4" bottom="0.39" header="0.25" footer="0.28999999999999998"/>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V47"/>
  <sheetViews>
    <sheetView zoomScaleNormal="100" workbookViewId="0"/>
  </sheetViews>
  <sheetFormatPr defaultColWidth="9.140625" defaultRowHeight="12.75"/>
  <cols>
    <col min="1" max="1" width="22.42578125" style="44" customWidth="1"/>
    <col min="2" max="2" width="7.85546875" style="1" customWidth="1"/>
    <col min="3" max="3" width="10.5703125" style="43" customWidth="1"/>
    <col min="4" max="4" width="8.85546875" style="43" customWidth="1"/>
    <col min="5" max="5" width="7.85546875" style="1" customWidth="1"/>
    <col min="6" max="6" width="8.85546875" style="1" customWidth="1"/>
    <col min="7" max="7" width="16.5703125" style="1" customWidth="1"/>
    <col min="8" max="8" width="15" style="1" customWidth="1"/>
    <col min="9" max="9" width="11.5703125" style="1" customWidth="1"/>
    <col min="10" max="10" width="19.42578125" style="1" customWidth="1"/>
    <col min="11" max="15" width="9.140625" style="1"/>
    <col min="16" max="16" width="34.140625" style="1" bestFit="1" customWidth="1"/>
    <col min="17" max="20" width="9.140625" style="1"/>
    <col min="21" max="21" width="13.140625" style="1" customWidth="1"/>
    <col min="22" max="22" width="16.85546875" style="1" bestFit="1" customWidth="1"/>
    <col min="23" max="16384" width="9.140625" style="1"/>
  </cols>
  <sheetData>
    <row r="1" spans="1:22" s="188" customFormat="1" ht="27" customHeight="1">
      <c r="A1" s="295" t="s">
        <v>80</v>
      </c>
      <c r="B1" s="296"/>
      <c r="C1" s="297"/>
      <c r="D1" s="297"/>
    </row>
    <row r="2" spans="1:22">
      <c r="A2" s="291" t="s">
        <v>140</v>
      </c>
      <c r="B2" s="292" t="s">
        <v>151</v>
      </c>
      <c r="C2" s="293"/>
      <c r="D2" s="293"/>
      <c r="E2" s="294"/>
      <c r="F2" s="294"/>
      <c r="G2" s="294"/>
      <c r="H2" s="294"/>
      <c r="I2" s="294"/>
      <c r="J2" s="294"/>
      <c r="K2" s="294"/>
    </row>
    <row r="3" spans="1:22">
      <c r="A3" s="76"/>
    </row>
    <row r="4" spans="1:22">
      <c r="A4" s="75" t="s">
        <v>64</v>
      </c>
      <c r="B4" s="73"/>
      <c r="C4" s="74"/>
      <c r="D4" s="74"/>
      <c r="E4" s="73"/>
      <c r="F4" s="73"/>
      <c r="G4" s="73"/>
      <c r="H4" s="73"/>
    </row>
    <row r="5" spans="1:22">
      <c r="A5" s="72" t="s">
        <v>63</v>
      </c>
      <c r="B5" s="71">
        <v>300</v>
      </c>
      <c r="G5" s="1" t="s">
        <v>62</v>
      </c>
      <c r="H5" s="112">
        <v>0.09</v>
      </c>
    </row>
    <row r="6" spans="1:22" s="45" customFormat="1">
      <c r="A6" s="70" t="s">
        <v>61</v>
      </c>
      <c r="B6" s="69">
        <v>0.02</v>
      </c>
      <c r="C6" s="46"/>
      <c r="D6" s="46"/>
      <c r="G6" s="1"/>
      <c r="H6" s="41"/>
    </row>
    <row r="7" spans="1:22" s="45" customFormat="1" ht="15" customHeight="1">
      <c r="A7" s="68" t="s">
        <v>60</v>
      </c>
      <c r="B7" s="67" t="s">
        <v>59</v>
      </c>
      <c r="C7" s="46"/>
      <c r="D7" s="46"/>
    </row>
    <row r="8" spans="1:22" s="45" customFormat="1" ht="30.75" customHeight="1">
      <c r="A8" s="133"/>
      <c r="B8" s="132"/>
      <c r="C8" s="94"/>
      <c r="D8" s="94"/>
      <c r="E8" s="2"/>
      <c r="F8" s="2"/>
      <c r="G8" s="2"/>
      <c r="H8" s="2"/>
      <c r="I8" s="2"/>
      <c r="J8" s="2"/>
    </row>
    <row r="9" spans="1:22" s="57" customFormat="1">
      <c r="A9" s="131"/>
      <c r="B9" s="110"/>
      <c r="C9" s="130"/>
      <c r="D9" s="509" t="s">
        <v>58</v>
      </c>
      <c r="E9" s="509"/>
      <c r="F9" s="509"/>
      <c r="G9" s="110"/>
      <c r="H9" s="110"/>
      <c r="I9" s="110"/>
      <c r="J9" s="110"/>
      <c r="P9" s="48"/>
      <c r="Q9" s="48"/>
    </row>
    <row r="10" spans="1:22" s="63" customFormat="1" ht="50.25" customHeight="1">
      <c r="A10" s="109" t="s">
        <v>57</v>
      </c>
      <c r="B10" s="106" t="s">
        <v>56</v>
      </c>
      <c r="C10" s="108" t="s">
        <v>55</v>
      </c>
      <c r="D10" s="108" t="s">
        <v>54</v>
      </c>
      <c r="E10" s="106" t="s">
        <v>53</v>
      </c>
      <c r="F10" s="106" t="s">
        <v>52</v>
      </c>
      <c r="G10" s="106" t="s">
        <v>94</v>
      </c>
      <c r="H10" s="106" t="s">
        <v>135</v>
      </c>
      <c r="I10" s="107"/>
      <c r="J10" s="302" t="s">
        <v>100</v>
      </c>
      <c r="U10" s="63" t="s">
        <v>95</v>
      </c>
      <c r="V10" s="46">
        <v>300</v>
      </c>
    </row>
    <row r="11" spans="1:22" s="45" customFormat="1">
      <c r="A11" s="95"/>
      <c r="B11" s="2"/>
      <c r="C11" s="94"/>
      <c r="D11" s="94"/>
      <c r="E11" s="2"/>
      <c r="F11" s="2"/>
      <c r="G11" s="2"/>
      <c r="H11" s="2"/>
      <c r="I11" s="2"/>
      <c r="J11" s="303"/>
      <c r="U11" s="45" t="s">
        <v>96</v>
      </c>
      <c r="V11" s="46">
        <f>C18-D18</f>
        <v>276.92307692307691</v>
      </c>
    </row>
    <row r="12" spans="1:22" s="45" customFormat="1">
      <c r="A12" s="126" t="s">
        <v>74</v>
      </c>
      <c r="B12" s="2"/>
      <c r="C12" s="94"/>
      <c r="D12" s="94"/>
      <c r="E12" s="2"/>
      <c r="F12" s="2"/>
      <c r="G12" s="2"/>
      <c r="H12" s="2"/>
      <c r="I12" s="2"/>
      <c r="J12" s="303"/>
      <c r="U12" s="45" t="s">
        <v>97</v>
      </c>
      <c r="V12" s="46">
        <v>207.17008682219023</v>
      </c>
    </row>
    <row r="13" spans="1:22" s="45" customFormat="1">
      <c r="A13" s="126" t="s">
        <v>73</v>
      </c>
      <c r="B13" s="101">
        <v>1</v>
      </c>
      <c r="C13" s="104">
        <f>$B$5</f>
        <v>300</v>
      </c>
      <c r="D13" s="104"/>
      <c r="E13" s="104">
        <f t="shared" ref="E13:E30" si="0">C13*$B$6</f>
        <v>6</v>
      </c>
      <c r="F13" s="104">
        <f t="shared" ref="F13:F30" si="1">D13+E13</f>
        <v>6</v>
      </c>
      <c r="G13" s="104">
        <f t="shared" ref="G13:G30" si="2">(1+$H$5)^($B13-$B$19)</f>
        <v>0.5962673268792158</v>
      </c>
      <c r="H13" s="104">
        <f t="shared" ref="H13:H30" si="3">F13/G13</f>
        <v>10.062600665046004</v>
      </c>
      <c r="I13" s="2"/>
      <c r="J13" s="303"/>
      <c r="S13" s="46">
        <f>B45-B46+B43</f>
        <v>154.0046587759611</v>
      </c>
      <c r="U13" s="45" t="s">
        <v>98</v>
      </c>
      <c r="V13" s="43">
        <f>V11+V12</f>
        <v>484.09316374526713</v>
      </c>
    </row>
    <row r="14" spans="1:22" s="45" customFormat="1">
      <c r="A14" s="126" t="s">
        <v>72</v>
      </c>
      <c r="B14" s="101">
        <v>2</v>
      </c>
      <c r="C14" s="104">
        <f>$B$5</f>
        <v>300</v>
      </c>
      <c r="D14" s="104"/>
      <c r="E14" s="104">
        <f t="shared" si="0"/>
        <v>6</v>
      </c>
      <c r="F14" s="104">
        <f t="shared" si="1"/>
        <v>6</v>
      </c>
      <c r="G14" s="104">
        <f t="shared" si="2"/>
        <v>0.64993138629834524</v>
      </c>
      <c r="H14" s="104">
        <f t="shared" si="3"/>
        <v>9.2317437294000033</v>
      </c>
      <c r="I14" s="2"/>
      <c r="J14" s="303"/>
      <c r="U14" s="45" t="s">
        <v>99</v>
      </c>
      <c r="V14" s="43">
        <f>IF((V11+V12)&lt;=V10,V12,V10-V11)</f>
        <v>23.076923076923094</v>
      </c>
    </row>
    <row r="15" spans="1:22" s="45" customFormat="1">
      <c r="A15" s="126" t="s">
        <v>71</v>
      </c>
      <c r="B15" s="101">
        <v>3</v>
      </c>
      <c r="C15" s="104">
        <f>$B$5</f>
        <v>300</v>
      </c>
      <c r="D15" s="104"/>
      <c r="E15" s="104">
        <f t="shared" si="0"/>
        <v>6</v>
      </c>
      <c r="F15" s="104">
        <f t="shared" si="1"/>
        <v>6</v>
      </c>
      <c r="G15" s="104">
        <f t="shared" si="2"/>
        <v>0.7084252110651964</v>
      </c>
      <c r="H15" s="104">
        <f t="shared" si="3"/>
        <v>8.4694896600000025</v>
      </c>
      <c r="I15" s="2"/>
      <c r="J15" s="303"/>
    </row>
    <row r="16" spans="1:22" s="45" customFormat="1">
      <c r="A16" s="126" t="s">
        <v>70</v>
      </c>
      <c r="B16" s="101">
        <v>4</v>
      </c>
      <c r="C16" s="104">
        <f>$B$5</f>
        <v>300</v>
      </c>
      <c r="D16" s="104"/>
      <c r="E16" s="104">
        <f t="shared" si="0"/>
        <v>6</v>
      </c>
      <c r="F16" s="104">
        <f t="shared" si="1"/>
        <v>6</v>
      </c>
      <c r="G16" s="104">
        <f t="shared" si="2"/>
        <v>0.77218348006106419</v>
      </c>
      <c r="H16" s="104">
        <f t="shared" si="3"/>
        <v>7.7701740000000008</v>
      </c>
      <c r="I16" s="2"/>
      <c r="J16" s="303"/>
    </row>
    <row r="17" spans="1:16" s="45" customFormat="1">
      <c r="A17" s="126" t="s">
        <v>69</v>
      </c>
      <c r="B17" s="101">
        <v>5</v>
      </c>
      <c r="C17" s="104">
        <f>C16-D16</f>
        <v>300</v>
      </c>
      <c r="D17" s="104"/>
      <c r="E17" s="104">
        <f t="shared" si="0"/>
        <v>6</v>
      </c>
      <c r="F17" s="104">
        <f t="shared" si="1"/>
        <v>6</v>
      </c>
      <c r="G17" s="104">
        <f t="shared" si="2"/>
        <v>0.84167999326655996</v>
      </c>
      <c r="H17" s="104">
        <f t="shared" si="3"/>
        <v>7.1286000000000005</v>
      </c>
      <c r="I17" s="2"/>
      <c r="J17" s="303"/>
    </row>
    <row r="18" spans="1:16" s="45" customFormat="1" ht="12.75" customHeight="1">
      <c r="A18" s="178" t="s">
        <v>68</v>
      </c>
      <c r="B18" s="174">
        <v>6</v>
      </c>
      <c r="C18" s="173">
        <f>C17-D17</f>
        <v>300</v>
      </c>
      <c r="D18" s="173">
        <f>300/13</f>
        <v>23.076923076923077</v>
      </c>
      <c r="E18" s="173">
        <f t="shared" si="0"/>
        <v>6</v>
      </c>
      <c r="F18" s="173">
        <f t="shared" si="1"/>
        <v>29.076923076923077</v>
      </c>
      <c r="G18" s="173">
        <f t="shared" si="2"/>
        <v>0.9174311926605504</v>
      </c>
      <c r="H18" s="173">
        <f t="shared" si="3"/>
        <v>31.693846153846156</v>
      </c>
      <c r="I18" s="510" t="s">
        <v>79</v>
      </c>
      <c r="J18" s="304"/>
    </row>
    <row r="19" spans="1:16" s="45" customFormat="1" ht="12.75" customHeight="1">
      <c r="A19" s="177" t="s">
        <v>49</v>
      </c>
      <c r="B19" s="175">
        <v>7</v>
      </c>
      <c r="C19" s="102"/>
      <c r="D19" s="102"/>
      <c r="E19" s="102">
        <f t="shared" si="0"/>
        <v>0</v>
      </c>
      <c r="F19" s="102">
        <f t="shared" si="1"/>
        <v>0</v>
      </c>
      <c r="G19" s="102">
        <f t="shared" si="2"/>
        <v>1</v>
      </c>
      <c r="H19" s="104">
        <f t="shared" si="3"/>
        <v>0</v>
      </c>
      <c r="I19" s="510"/>
      <c r="J19" s="305">
        <f>'Example 1_ step 0'!K20</f>
        <v>28.615384615384613</v>
      </c>
    </row>
    <row r="20" spans="1:16" s="45" customFormat="1">
      <c r="A20" s="126" t="s">
        <v>48</v>
      </c>
      <c r="B20" s="101">
        <v>8</v>
      </c>
      <c r="C20" s="104"/>
      <c r="D20" s="104"/>
      <c r="E20" s="104">
        <f t="shared" si="0"/>
        <v>0</v>
      </c>
      <c r="F20" s="104">
        <f t="shared" si="1"/>
        <v>0</v>
      </c>
      <c r="G20" s="104">
        <f t="shared" si="2"/>
        <v>1.0900000000000001</v>
      </c>
      <c r="H20" s="104">
        <f t="shared" si="3"/>
        <v>0</v>
      </c>
      <c r="I20" s="2"/>
      <c r="J20" s="305">
        <f>'Example 1_ step 0'!K21</f>
        <v>25.829216654904727</v>
      </c>
    </row>
    <row r="21" spans="1:16" s="45" customFormat="1">
      <c r="A21" s="126" t="s">
        <v>47</v>
      </c>
      <c r="B21" s="101">
        <v>9</v>
      </c>
      <c r="C21" s="104"/>
      <c r="D21" s="104"/>
      <c r="E21" s="104">
        <f t="shared" si="0"/>
        <v>0</v>
      </c>
      <c r="F21" s="104">
        <f t="shared" si="1"/>
        <v>0</v>
      </c>
      <c r="G21" s="104">
        <f t="shared" si="2"/>
        <v>1.1881000000000002</v>
      </c>
      <c r="H21" s="104">
        <f t="shared" si="3"/>
        <v>0</v>
      </c>
      <c r="I21" s="2"/>
      <c r="J21" s="305">
        <f>'Example 1_ step 0'!K22</f>
        <v>23.308061351997047</v>
      </c>
    </row>
    <row r="22" spans="1:16" s="45" customFormat="1">
      <c r="A22" s="126" t="s">
        <v>46</v>
      </c>
      <c r="B22" s="101">
        <v>10</v>
      </c>
      <c r="C22" s="104"/>
      <c r="D22" s="104"/>
      <c r="E22" s="104">
        <f t="shared" si="0"/>
        <v>0</v>
      </c>
      <c r="F22" s="104">
        <f t="shared" si="1"/>
        <v>0</v>
      </c>
      <c r="G22" s="104">
        <f t="shared" si="2"/>
        <v>1.2950290000000002</v>
      </c>
      <c r="H22" s="104">
        <f t="shared" si="3"/>
        <v>0</v>
      </c>
      <c r="I22" s="2"/>
      <c r="J22" s="305">
        <f>'Example 1_ step 0'!K23</f>
        <v>21.02715014935513</v>
      </c>
    </row>
    <row r="23" spans="1:16" s="45" customFormat="1">
      <c r="A23" s="126" t="s">
        <v>45</v>
      </c>
      <c r="B23" s="101">
        <v>11</v>
      </c>
      <c r="C23" s="104"/>
      <c r="D23" s="104"/>
      <c r="E23" s="104">
        <f t="shared" si="0"/>
        <v>0</v>
      </c>
      <c r="F23" s="104">
        <f t="shared" si="1"/>
        <v>0</v>
      </c>
      <c r="G23" s="104">
        <f t="shared" si="2"/>
        <v>1.4115816100000003</v>
      </c>
      <c r="H23" s="104">
        <f t="shared" si="3"/>
        <v>0</v>
      </c>
      <c r="I23" s="2"/>
      <c r="J23" s="305">
        <f>'Example 1_ step 0'!K24</f>
        <v>18.96399795774526</v>
      </c>
    </row>
    <row r="24" spans="1:16" s="45" customFormat="1">
      <c r="A24" s="126" t="s">
        <v>44</v>
      </c>
      <c r="B24" s="101">
        <v>12</v>
      </c>
      <c r="C24" s="104"/>
      <c r="D24" s="104"/>
      <c r="E24" s="104">
        <f t="shared" si="0"/>
        <v>0</v>
      </c>
      <c r="F24" s="104">
        <f t="shared" si="1"/>
        <v>0</v>
      </c>
      <c r="G24" s="104">
        <f t="shared" si="2"/>
        <v>1.5386239549000005</v>
      </c>
      <c r="H24" s="104">
        <f t="shared" si="3"/>
        <v>0</v>
      </c>
      <c r="I24" s="2"/>
      <c r="J24" s="305">
        <f>'Example 1_ step 0'!K25</f>
        <v>17.098194931848774</v>
      </c>
    </row>
    <row r="25" spans="1:16" s="45" customFormat="1">
      <c r="A25" s="126" t="s">
        <v>43</v>
      </c>
      <c r="B25" s="101">
        <v>13</v>
      </c>
      <c r="C25" s="104"/>
      <c r="D25" s="104"/>
      <c r="E25" s="104">
        <f t="shared" si="0"/>
        <v>0</v>
      </c>
      <c r="F25" s="104">
        <f t="shared" si="1"/>
        <v>0</v>
      </c>
      <c r="G25" s="104">
        <f t="shared" si="2"/>
        <v>1.6771001108410006</v>
      </c>
      <c r="H25" s="104">
        <f t="shared" si="3"/>
        <v>0</v>
      </c>
      <c r="I25" s="2"/>
      <c r="J25" s="305">
        <f>'Example 1_ step 0'!K26</f>
        <v>15.411217063955117</v>
      </c>
    </row>
    <row r="26" spans="1:16" s="45" customFormat="1">
      <c r="A26" s="126" t="s">
        <v>42</v>
      </c>
      <c r="B26" s="101">
        <v>14</v>
      </c>
      <c r="C26" s="104"/>
      <c r="D26" s="104"/>
      <c r="E26" s="104">
        <f t="shared" si="0"/>
        <v>0</v>
      </c>
      <c r="F26" s="104">
        <f t="shared" si="1"/>
        <v>0</v>
      </c>
      <c r="G26" s="104">
        <f t="shared" si="2"/>
        <v>1.8280391208166906</v>
      </c>
      <c r="H26" s="104">
        <f t="shared" si="3"/>
        <v>0</v>
      </c>
      <c r="I26" s="2"/>
      <c r="J26" s="305">
        <f>'Example 1_ step 0'!K27</f>
        <v>13.886253907561132</v>
      </c>
    </row>
    <row r="27" spans="1:16" s="45" customFormat="1">
      <c r="A27" s="126" t="s">
        <v>41</v>
      </c>
      <c r="B27" s="101">
        <v>15</v>
      </c>
      <c r="C27" s="104"/>
      <c r="D27" s="104"/>
      <c r="E27" s="104">
        <f t="shared" si="0"/>
        <v>0</v>
      </c>
      <c r="F27" s="104">
        <f t="shared" si="1"/>
        <v>0</v>
      </c>
      <c r="G27" s="104">
        <f t="shared" si="2"/>
        <v>1.9925626416901929</v>
      </c>
      <c r="H27" s="104">
        <f t="shared" si="3"/>
        <v>0</v>
      </c>
      <c r="I27" s="2"/>
      <c r="J27" s="305">
        <f>'Example 1_ step 0'!K28</f>
        <v>12.508051893382836</v>
      </c>
    </row>
    <row r="28" spans="1:16" s="45" customFormat="1" ht="14.25">
      <c r="A28" s="126" t="s">
        <v>40</v>
      </c>
      <c r="B28" s="101">
        <v>16</v>
      </c>
      <c r="C28" s="104"/>
      <c r="D28" s="104"/>
      <c r="E28" s="104">
        <f t="shared" si="0"/>
        <v>0</v>
      </c>
      <c r="F28" s="104">
        <f t="shared" si="1"/>
        <v>0</v>
      </c>
      <c r="G28" s="104">
        <f t="shared" si="2"/>
        <v>2.1718932794423105</v>
      </c>
      <c r="H28" s="104">
        <f t="shared" si="3"/>
        <v>0</v>
      </c>
      <c r="I28" s="2"/>
      <c r="J28" s="305">
        <f>'Example 1_ step 0'!K29</f>
        <v>11.262771837398748</v>
      </c>
      <c r="P28" s="179"/>
    </row>
    <row r="29" spans="1:16" s="45" customFormat="1">
      <c r="A29" s="126" t="s">
        <v>39</v>
      </c>
      <c r="B29" s="101">
        <v>17</v>
      </c>
      <c r="C29" s="104"/>
      <c r="D29" s="104"/>
      <c r="E29" s="104">
        <f t="shared" si="0"/>
        <v>0</v>
      </c>
      <c r="F29" s="104">
        <f t="shared" si="1"/>
        <v>0</v>
      </c>
      <c r="G29" s="104">
        <f t="shared" si="2"/>
        <v>2.3673636745921187</v>
      </c>
      <c r="H29" s="104">
        <f t="shared" si="3"/>
        <v>0</v>
      </c>
      <c r="I29" s="2"/>
      <c r="J29" s="305">
        <f>'Example 1_ step 0'!K30</f>
        <v>10.137859365496533</v>
      </c>
    </row>
    <row r="30" spans="1:16" s="45" customFormat="1">
      <c r="A30" s="126" t="s">
        <v>38</v>
      </c>
      <c r="B30" s="101">
        <v>18</v>
      </c>
      <c r="C30" s="104"/>
      <c r="D30" s="104"/>
      <c r="E30" s="104">
        <f t="shared" si="0"/>
        <v>0</v>
      </c>
      <c r="F30" s="104">
        <f t="shared" si="1"/>
        <v>0</v>
      </c>
      <c r="G30" s="104">
        <f t="shared" si="2"/>
        <v>2.5804264053054093</v>
      </c>
      <c r="H30" s="104">
        <f t="shared" si="3"/>
        <v>0</v>
      </c>
      <c r="I30" s="2"/>
      <c r="J30" s="305">
        <f>'Example 1_ step 0'!K31</f>
        <v>9.1219270931602559</v>
      </c>
    </row>
    <row r="31" spans="1:16" s="45" customFormat="1">
      <c r="A31" s="95"/>
      <c r="B31" s="2"/>
      <c r="C31" s="94"/>
      <c r="D31" s="125"/>
      <c r="E31" s="105"/>
      <c r="F31" s="105"/>
      <c r="G31" s="105"/>
      <c r="H31" s="124"/>
      <c r="I31" s="2"/>
      <c r="J31" s="306"/>
    </row>
    <row r="32" spans="1:16" s="45" customFormat="1">
      <c r="A32" s="95"/>
      <c r="B32" s="2"/>
      <c r="C32" s="94"/>
      <c r="D32" s="94"/>
      <c r="E32" s="105"/>
      <c r="F32" s="105"/>
      <c r="G32" s="105" t="s">
        <v>65</v>
      </c>
      <c r="H32" s="117">
        <f>SUM(H11:H30)</f>
        <v>74.356454208292163</v>
      </c>
      <c r="J32" s="290"/>
    </row>
    <row r="33" spans="1:11" s="45" customFormat="1">
      <c r="A33" s="47"/>
      <c r="C33" s="46"/>
      <c r="D33" s="46"/>
      <c r="E33" s="54"/>
      <c r="F33" s="361"/>
      <c r="G33" s="362" t="s">
        <v>78</v>
      </c>
      <c r="H33" s="363">
        <f>B5*(1+H5)^B19-H32</f>
        <v>474.05528203671503</v>
      </c>
      <c r="J33" s="290"/>
    </row>
    <row r="34" spans="1:11" s="45" customFormat="1">
      <c r="A34" s="47"/>
      <c r="C34" s="46"/>
      <c r="D34" s="46"/>
      <c r="E34" s="54"/>
      <c r="F34" s="54"/>
      <c r="G34" s="64"/>
      <c r="H34" s="117"/>
      <c r="J34" s="290"/>
    </row>
    <row r="35" spans="1:11" s="45" customFormat="1">
      <c r="A35" s="291" t="s">
        <v>141</v>
      </c>
      <c r="B35" s="291" t="s">
        <v>142</v>
      </c>
      <c r="C35" s="293"/>
      <c r="D35" s="293"/>
      <c r="E35" s="298"/>
      <c r="F35" s="298"/>
      <c r="G35" s="299"/>
      <c r="H35" s="300"/>
      <c r="I35" s="294"/>
      <c r="J35" s="294"/>
      <c r="K35" s="294"/>
    </row>
    <row r="36" spans="1:11" s="45" customFormat="1">
      <c r="A36" s="47"/>
      <c r="C36" s="46"/>
      <c r="D36" s="46"/>
      <c r="E36" s="54"/>
      <c r="F36" s="54"/>
      <c r="G36" s="64"/>
      <c r="H36" s="117"/>
      <c r="J36" s="290"/>
    </row>
    <row r="37" spans="1:11" s="45" customFormat="1">
      <c r="A37" s="52"/>
      <c r="B37" s="51"/>
      <c r="C37" s="49"/>
      <c r="D37" s="49"/>
      <c r="E37" s="51"/>
      <c r="F37" s="51"/>
      <c r="G37" s="64" t="s">
        <v>154</v>
      </c>
      <c r="H37" s="116">
        <f>'Example 1_ step 0'!H34*(1+$H$5)^B19</f>
        <v>266.8851952145248</v>
      </c>
      <c r="J37" s="290"/>
    </row>
    <row r="38" spans="1:11" s="45" customFormat="1">
      <c r="A38" s="47"/>
      <c r="B38" s="51"/>
      <c r="C38" s="121"/>
      <c r="D38" s="46"/>
      <c r="G38" s="511"/>
      <c r="H38" s="511"/>
      <c r="J38" s="411" t="s">
        <v>162</v>
      </c>
    </row>
    <row r="39" spans="1:11" s="45" customFormat="1" ht="20.25">
      <c r="A39" s="47"/>
      <c r="B39" s="120"/>
      <c r="C39" s="50"/>
      <c r="D39" s="46"/>
      <c r="G39" s="364" t="s">
        <v>77</v>
      </c>
      <c r="H39" s="363">
        <f>H33-H37</f>
        <v>207.17008682219023</v>
      </c>
      <c r="I39" s="114" t="s">
        <v>76</v>
      </c>
      <c r="J39" s="301">
        <f>SUM(J19:J30)</f>
        <v>207.17008682219014</v>
      </c>
    </row>
    <row r="40" spans="1:11" s="45" customFormat="1" ht="19.5" customHeight="1">
      <c r="D40" s="48"/>
      <c r="E40" s="48"/>
      <c r="F40" s="48"/>
      <c r="G40" s="119"/>
      <c r="H40" s="48"/>
      <c r="I40" s="118"/>
      <c r="J40" s="118"/>
    </row>
    <row r="41" spans="1:11" s="45" customFormat="1" ht="15.75" customHeight="1">
      <c r="A41" s="291" t="s">
        <v>152</v>
      </c>
      <c r="B41" s="291" t="s">
        <v>143</v>
      </c>
      <c r="C41" s="293"/>
      <c r="D41" s="293"/>
      <c r="E41" s="298"/>
      <c r="F41" s="298"/>
      <c r="G41" s="299"/>
      <c r="H41" s="300"/>
      <c r="I41" s="294"/>
      <c r="J41" s="294"/>
      <c r="K41" s="294"/>
    </row>
    <row r="42" spans="1:11" s="45" customFormat="1">
      <c r="E42" s="48"/>
      <c r="F42" s="48"/>
      <c r="I42" s="48"/>
      <c r="J42" s="48"/>
    </row>
    <row r="43" spans="1:11" s="45" customFormat="1" ht="31.5" customHeight="1">
      <c r="A43" s="311" t="s">
        <v>0</v>
      </c>
      <c r="B43" s="56">
        <f>B5</f>
        <v>300</v>
      </c>
      <c r="E43" s="308"/>
      <c r="J43" s="2"/>
    </row>
    <row r="44" spans="1:11" ht="15">
      <c r="A44" s="311" t="s">
        <v>145</v>
      </c>
      <c r="B44" s="56">
        <f>'Example 1_ step 0'!H34</f>
        <v>145.9953412240389</v>
      </c>
      <c r="E44" s="309"/>
    </row>
    <row r="45" spans="1:11" ht="26.25">
      <c r="A45" s="307" t="s">
        <v>146</v>
      </c>
      <c r="B45" s="56">
        <f>H39</f>
        <v>207.17008682219023</v>
      </c>
      <c r="E45" s="310"/>
    </row>
    <row r="46" spans="1:11">
      <c r="A46" s="289" t="s">
        <v>147</v>
      </c>
      <c r="B46" s="56">
        <f>B44+B45</f>
        <v>353.16542804622912</v>
      </c>
    </row>
    <row r="47" spans="1:11" ht="38.25">
      <c r="A47" s="366" t="s">
        <v>144</v>
      </c>
      <c r="B47" s="388">
        <f>IF((B44+B45)&lt;=B43,B45,B43-B44)</f>
        <v>154.0046587759611</v>
      </c>
    </row>
  </sheetData>
  <mergeCells count="3">
    <mergeCell ref="D9:F9"/>
    <mergeCell ref="I18:I19"/>
    <mergeCell ref="G38:H38"/>
  </mergeCells>
  <pageMargins left="0.18" right="0.17" top="0.4" bottom="0.39" header="0.25" footer="0.28999999999999998"/>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60"/>
  <sheetViews>
    <sheetView zoomScaleNormal="100" workbookViewId="0"/>
  </sheetViews>
  <sheetFormatPr defaultColWidth="9.140625" defaultRowHeight="12.75"/>
  <cols>
    <col min="1" max="1" width="21.140625" style="44" customWidth="1"/>
    <col min="2" max="2" width="8.85546875" style="1" customWidth="1"/>
    <col min="3" max="3" width="11.140625" style="43" customWidth="1"/>
    <col min="4" max="4" width="7.42578125" style="43" customWidth="1"/>
    <col min="5" max="5" width="7.140625" style="1" customWidth="1"/>
    <col min="6" max="6" width="18" style="1" customWidth="1"/>
    <col min="7" max="7" width="18.85546875" style="1" customWidth="1"/>
    <col min="8" max="8" width="15.85546875" style="1" customWidth="1"/>
    <col min="9" max="9" width="10.140625" style="2" customWidth="1"/>
    <col min="10" max="10" width="6.85546875" style="1" customWidth="1"/>
    <col min="11" max="11" width="1.42578125" style="45" customWidth="1"/>
    <col min="12" max="12" width="19" style="45" bestFit="1" customWidth="1"/>
    <col min="13" max="13" width="6.85546875" style="45" customWidth="1"/>
    <col min="14" max="14" width="21.5703125" style="45" bestFit="1" customWidth="1"/>
    <col min="15" max="18" width="9.140625" style="1"/>
    <col min="19" max="19" width="20.5703125" style="1" customWidth="1"/>
    <col min="20" max="16384" width="9.140625" style="1"/>
  </cols>
  <sheetData>
    <row r="1" spans="1:20" ht="15.75">
      <c r="A1" s="78" t="s">
        <v>85</v>
      </c>
      <c r="B1" s="77"/>
    </row>
    <row r="2" spans="1:20">
      <c r="A2" s="76"/>
    </row>
    <row r="3" spans="1:20">
      <c r="A3" s="291" t="s">
        <v>140</v>
      </c>
      <c r="B3" s="292" t="s">
        <v>151</v>
      </c>
      <c r="C3" s="293"/>
      <c r="D3" s="293"/>
      <c r="E3" s="294"/>
      <c r="F3" s="294"/>
      <c r="G3" s="294"/>
      <c r="H3" s="294"/>
      <c r="I3" s="294"/>
      <c r="J3" s="294"/>
      <c r="K3" s="294"/>
      <c r="L3" s="294"/>
      <c r="M3" s="294"/>
      <c r="N3" s="294"/>
    </row>
    <row r="4" spans="1:20" s="45" customFormat="1">
      <c r="A4" s="358"/>
      <c r="B4" s="359"/>
      <c r="C4" s="46"/>
      <c r="D4" s="46"/>
    </row>
    <row r="5" spans="1:20">
      <c r="A5" s="75" t="s">
        <v>64</v>
      </c>
      <c r="B5" s="73"/>
      <c r="C5" s="74"/>
      <c r="D5" s="74"/>
      <c r="E5" s="73"/>
      <c r="F5" s="73"/>
      <c r="G5" s="73"/>
      <c r="H5" s="73"/>
    </row>
    <row r="6" spans="1:20">
      <c r="A6" s="72" t="s">
        <v>63</v>
      </c>
      <c r="B6" s="71">
        <v>300</v>
      </c>
      <c r="F6" s="1" t="s">
        <v>62</v>
      </c>
      <c r="G6" s="112">
        <v>0.09</v>
      </c>
    </row>
    <row r="7" spans="1:20">
      <c r="A7" s="72" t="s">
        <v>61</v>
      </c>
      <c r="B7" s="92">
        <v>0.02</v>
      </c>
      <c r="G7" s="41"/>
    </row>
    <row r="8" spans="1:20" ht="15" customHeight="1">
      <c r="A8" s="158" t="s">
        <v>60</v>
      </c>
      <c r="B8" s="157" t="s">
        <v>59</v>
      </c>
      <c r="C8" s="94"/>
      <c r="D8" s="94"/>
      <c r="E8" s="2"/>
      <c r="F8" s="2"/>
      <c r="G8" s="2"/>
      <c r="H8" s="2"/>
      <c r="J8" s="2"/>
    </row>
    <row r="9" spans="1:20" ht="39.75" customHeight="1">
      <c r="A9" s="133"/>
      <c r="B9" s="132"/>
      <c r="C9" s="94"/>
      <c r="D9" s="94"/>
      <c r="E9" s="2"/>
      <c r="F9" s="2"/>
      <c r="G9" s="2"/>
      <c r="H9" s="2"/>
      <c r="J9" s="2"/>
    </row>
    <row r="10" spans="1:20" s="85" customFormat="1">
      <c r="A10" s="131"/>
      <c r="B10" s="110"/>
      <c r="C10" s="130"/>
      <c r="D10" s="509" t="s">
        <v>58</v>
      </c>
      <c r="E10" s="509"/>
      <c r="F10" s="509"/>
      <c r="G10" s="110"/>
      <c r="H10" s="110"/>
      <c r="I10" s="110"/>
      <c r="J10" s="110"/>
      <c r="K10" s="57"/>
      <c r="L10" s="512" t="s">
        <v>101</v>
      </c>
      <c r="M10" s="512"/>
      <c r="N10" s="512"/>
    </row>
    <row r="11" spans="1:20" s="81" customFormat="1" ht="60.75" customHeight="1">
      <c r="A11" s="109" t="s">
        <v>57</v>
      </c>
      <c r="B11" s="106" t="s">
        <v>56</v>
      </c>
      <c r="C11" s="108" t="s">
        <v>55</v>
      </c>
      <c r="D11" s="108" t="s">
        <v>54</v>
      </c>
      <c r="E11" s="106" t="s">
        <v>53</v>
      </c>
      <c r="F11" s="106" t="s">
        <v>52</v>
      </c>
      <c r="G11" s="127" t="s">
        <v>84</v>
      </c>
      <c r="H11" s="106" t="s">
        <v>136</v>
      </c>
      <c r="I11" s="107"/>
      <c r="J11" s="107"/>
      <c r="K11" s="63"/>
      <c r="L11" s="302" t="s">
        <v>102</v>
      </c>
      <c r="M11" s="376"/>
      <c r="N11" s="377" t="s">
        <v>83</v>
      </c>
      <c r="S11" s="45" t="s">
        <v>95</v>
      </c>
      <c r="T11" s="45">
        <v>300</v>
      </c>
    </row>
    <row r="12" spans="1:20">
      <c r="A12" s="95"/>
      <c r="B12" s="2"/>
      <c r="C12" s="94"/>
      <c r="D12" s="94"/>
      <c r="E12" s="2"/>
      <c r="F12" s="2"/>
      <c r="G12" s="2"/>
      <c r="H12" s="2"/>
      <c r="J12" s="2"/>
      <c r="L12" s="303"/>
      <c r="M12" s="378"/>
      <c r="N12" s="378"/>
      <c r="S12" s="45" t="s">
        <v>96</v>
      </c>
      <c r="T12" s="45">
        <f>'Example 1_ step 0'!H34</f>
        <v>145.9953412240389</v>
      </c>
    </row>
    <row r="13" spans="1:20">
      <c r="A13" s="100" t="s">
        <v>74</v>
      </c>
      <c r="B13" s="123"/>
      <c r="C13" s="101"/>
      <c r="D13" s="101"/>
      <c r="E13" s="123"/>
      <c r="F13" s="123"/>
      <c r="G13" s="103"/>
      <c r="H13" s="123"/>
      <c r="J13" s="2"/>
      <c r="L13" s="303"/>
      <c r="M13" s="378"/>
      <c r="N13" s="378"/>
      <c r="O13" s="45"/>
      <c r="S13" s="1" t="s">
        <v>97</v>
      </c>
      <c r="T13" s="43">
        <f>H44</f>
        <v>52.217707069146343</v>
      </c>
    </row>
    <row r="14" spans="1:20">
      <c r="A14" s="100" t="s">
        <v>73</v>
      </c>
      <c r="B14" s="101">
        <v>1</v>
      </c>
      <c r="C14" s="104">
        <f>$B$6</f>
        <v>300</v>
      </c>
      <c r="D14" s="104"/>
      <c r="E14" s="104">
        <f t="shared" ref="E14:E19" si="0">C14*$B$7</f>
        <v>6</v>
      </c>
      <c r="F14" s="104">
        <f t="shared" ref="F14:F37" si="1">D14+E14</f>
        <v>6</v>
      </c>
      <c r="G14" s="104">
        <v>0.5962673268792158</v>
      </c>
      <c r="H14" s="104">
        <f t="shared" ref="H14:H37" si="2">F14/G14</f>
        <v>10.062600665046004</v>
      </c>
      <c r="J14" s="2"/>
      <c r="L14" s="303"/>
      <c r="M14" s="378"/>
      <c r="N14" s="378"/>
      <c r="O14" s="45"/>
      <c r="S14" s="1" t="s">
        <v>98</v>
      </c>
      <c r="T14" s="43">
        <f>T12+T13</f>
        <v>198.21304829318524</v>
      </c>
    </row>
    <row r="15" spans="1:20">
      <c r="A15" s="100" t="s">
        <v>72</v>
      </c>
      <c r="B15" s="101">
        <v>2</v>
      </c>
      <c r="C15" s="104">
        <f>$B$6</f>
        <v>300</v>
      </c>
      <c r="D15" s="104"/>
      <c r="E15" s="104">
        <f t="shared" si="0"/>
        <v>6</v>
      </c>
      <c r="F15" s="104">
        <f t="shared" si="1"/>
        <v>6</v>
      </c>
      <c r="G15" s="104">
        <v>0.64993138629834524</v>
      </c>
      <c r="H15" s="104">
        <f t="shared" si="2"/>
        <v>9.2317437294000033</v>
      </c>
      <c r="J15" s="2"/>
      <c r="L15" s="303"/>
      <c r="M15" s="378"/>
      <c r="N15" s="378"/>
      <c r="O15" s="45"/>
      <c r="S15" s="1" t="s">
        <v>99</v>
      </c>
      <c r="T15" s="43">
        <f>IF((T12+T13)&lt;=T11,T13,T11-T12)</f>
        <v>52.217707069146343</v>
      </c>
    </row>
    <row r="16" spans="1:20">
      <c r="A16" s="100" t="s">
        <v>71</v>
      </c>
      <c r="B16" s="101">
        <v>3</v>
      </c>
      <c r="C16" s="104">
        <f>$B$6</f>
        <v>300</v>
      </c>
      <c r="D16" s="104"/>
      <c r="E16" s="104">
        <f t="shared" si="0"/>
        <v>6</v>
      </c>
      <c r="F16" s="104">
        <f t="shared" si="1"/>
        <v>6</v>
      </c>
      <c r="G16" s="104">
        <v>0.7084252110651964</v>
      </c>
      <c r="H16" s="104">
        <f t="shared" si="2"/>
        <v>8.4694896600000025</v>
      </c>
      <c r="J16" s="2"/>
      <c r="L16" s="303"/>
      <c r="M16" s="378"/>
      <c r="N16" s="378"/>
      <c r="O16" s="45"/>
    </row>
    <row r="17" spans="1:15">
      <c r="A17" s="100" t="s">
        <v>70</v>
      </c>
      <c r="B17" s="101">
        <v>4</v>
      </c>
      <c r="C17" s="104">
        <f>$B$6</f>
        <v>300</v>
      </c>
      <c r="D17" s="104"/>
      <c r="E17" s="104">
        <f t="shared" si="0"/>
        <v>6</v>
      </c>
      <c r="F17" s="104">
        <f t="shared" si="1"/>
        <v>6</v>
      </c>
      <c r="G17" s="104">
        <v>0.77218348006106419</v>
      </c>
      <c r="H17" s="104">
        <f t="shared" si="2"/>
        <v>7.7701740000000008</v>
      </c>
      <c r="J17" s="2"/>
      <c r="L17" s="303"/>
      <c r="M17" s="378"/>
      <c r="N17" s="378"/>
      <c r="O17" s="45"/>
    </row>
    <row r="18" spans="1:15">
      <c r="A18" s="100" t="s">
        <v>69</v>
      </c>
      <c r="B18" s="101">
        <v>5</v>
      </c>
      <c r="C18" s="104">
        <f t="shared" ref="C18:C37" si="3">C17-D17</f>
        <v>300</v>
      </c>
      <c r="D18" s="104"/>
      <c r="E18" s="104">
        <f t="shared" si="0"/>
        <v>6</v>
      </c>
      <c r="F18" s="104">
        <f t="shared" si="1"/>
        <v>6</v>
      </c>
      <c r="G18" s="104">
        <v>0.84167999326655996</v>
      </c>
      <c r="H18" s="104">
        <f t="shared" si="2"/>
        <v>7.1286000000000005</v>
      </c>
      <c r="J18" s="2"/>
      <c r="L18" s="303"/>
      <c r="M18" s="378"/>
      <c r="N18" s="378"/>
      <c r="O18" s="45"/>
    </row>
    <row r="19" spans="1:15" ht="12.75" customHeight="1">
      <c r="A19" s="156" t="s">
        <v>68</v>
      </c>
      <c r="B19" s="155">
        <v>6</v>
      </c>
      <c r="C19" s="154">
        <f t="shared" si="3"/>
        <v>300</v>
      </c>
      <c r="D19" s="154">
        <f>C19/13</f>
        <v>23.076923076923077</v>
      </c>
      <c r="E19" s="154">
        <f t="shared" si="0"/>
        <v>6</v>
      </c>
      <c r="F19" s="154">
        <f t="shared" si="1"/>
        <v>29.076923076923077</v>
      </c>
      <c r="G19" s="154">
        <v>0.9174311926605504</v>
      </c>
      <c r="H19" s="154">
        <f t="shared" si="2"/>
        <v>31.693846153846156</v>
      </c>
      <c r="I19" s="510" t="s">
        <v>79</v>
      </c>
      <c r="J19" s="513" t="s">
        <v>82</v>
      </c>
      <c r="K19" s="150"/>
      <c r="L19" s="303"/>
      <c r="M19" s="378"/>
      <c r="N19" s="378"/>
      <c r="O19" s="45"/>
    </row>
    <row r="20" spans="1:15">
      <c r="A20" s="153" t="s">
        <v>49</v>
      </c>
      <c r="B20" s="152">
        <v>7</v>
      </c>
      <c r="C20" s="151">
        <f t="shared" si="3"/>
        <v>276.92307692307691</v>
      </c>
      <c r="D20" s="151"/>
      <c r="E20" s="151">
        <f t="shared" ref="E20:E37" si="4">(C20*$B$7)</f>
        <v>5.5384615384615383</v>
      </c>
      <c r="F20" s="151">
        <f t="shared" si="1"/>
        <v>5.5384615384615383</v>
      </c>
      <c r="G20" s="151">
        <v>1</v>
      </c>
      <c r="H20" s="151">
        <f t="shared" si="2"/>
        <v>5.5384615384615383</v>
      </c>
      <c r="I20" s="510"/>
      <c r="J20" s="513"/>
      <c r="K20" s="150"/>
      <c r="L20" s="367">
        <v>28.615384615384613</v>
      </c>
      <c r="M20" s="378"/>
      <c r="N20" s="288">
        <f>L20-H20</f>
        <v>23.076923076923073</v>
      </c>
      <c r="O20" s="45"/>
    </row>
    <row r="21" spans="1:15">
      <c r="A21" s="153" t="s">
        <v>48</v>
      </c>
      <c r="B21" s="152">
        <v>8</v>
      </c>
      <c r="C21" s="151">
        <f t="shared" si="3"/>
        <v>276.92307692307691</v>
      </c>
      <c r="D21" s="151"/>
      <c r="E21" s="151">
        <f t="shared" si="4"/>
        <v>5.5384615384615383</v>
      </c>
      <c r="F21" s="151">
        <f t="shared" si="1"/>
        <v>5.5384615384615383</v>
      </c>
      <c r="G21" s="151">
        <v>1.0900000000000001</v>
      </c>
      <c r="H21" s="151">
        <f t="shared" si="2"/>
        <v>5.0811573747353558</v>
      </c>
      <c r="J21" s="513"/>
      <c r="K21" s="150"/>
      <c r="L21" s="367">
        <v>25.829216654904727</v>
      </c>
      <c r="M21" s="378"/>
      <c r="N21" s="288">
        <f t="shared" ref="N21:N37" si="5">L21-H21</f>
        <v>20.748059280169372</v>
      </c>
    </row>
    <row r="22" spans="1:15">
      <c r="A22" s="153" t="s">
        <v>47</v>
      </c>
      <c r="B22" s="152">
        <v>9</v>
      </c>
      <c r="C22" s="151">
        <f t="shared" si="3"/>
        <v>276.92307692307691</v>
      </c>
      <c r="D22" s="151"/>
      <c r="E22" s="151">
        <f t="shared" si="4"/>
        <v>5.5384615384615383</v>
      </c>
      <c r="F22" s="151">
        <f t="shared" si="1"/>
        <v>5.5384615384615383</v>
      </c>
      <c r="G22" s="151">
        <v>1.1881000000000002</v>
      </c>
      <c r="H22" s="151">
        <f t="shared" si="2"/>
        <v>4.6616122703994085</v>
      </c>
      <c r="J22" s="513"/>
      <c r="K22" s="150"/>
      <c r="L22" s="367">
        <v>23.308061351997047</v>
      </c>
      <c r="M22" s="378"/>
      <c r="N22" s="288">
        <f t="shared" si="5"/>
        <v>18.646449081597638</v>
      </c>
    </row>
    <row r="23" spans="1:15">
      <c r="A23" s="153" t="s">
        <v>46</v>
      </c>
      <c r="B23" s="152">
        <v>10</v>
      </c>
      <c r="C23" s="151">
        <f t="shared" si="3"/>
        <v>276.92307692307691</v>
      </c>
      <c r="D23" s="151"/>
      <c r="E23" s="151">
        <f t="shared" si="4"/>
        <v>5.5384615384615383</v>
      </c>
      <c r="F23" s="151">
        <f t="shared" si="1"/>
        <v>5.5384615384615383</v>
      </c>
      <c r="G23" s="151">
        <v>1.2950290000000002</v>
      </c>
      <c r="H23" s="151">
        <f t="shared" si="2"/>
        <v>4.2767085049535858</v>
      </c>
      <c r="J23" s="513"/>
      <c r="K23" s="150"/>
      <c r="L23" s="367">
        <v>21.02715014935513</v>
      </c>
      <c r="M23" s="378"/>
      <c r="N23" s="288">
        <f t="shared" si="5"/>
        <v>16.750441644401544</v>
      </c>
    </row>
    <row r="24" spans="1:15">
      <c r="A24" s="153" t="s">
        <v>45</v>
      </c>
      <c r="B24" s="152">
        <v>11</v>
      </c>
      <c r="C24" s="151">
        <f t="shared" si="3"/>
        <v>276.92307692307691</v>
      </c>
      <c r="D24" s="151"/>
      <c r="E24" s="151">
        <f t="shared" si="4"/>
        <v>5.5384615384615383</v>
      </c>
      <c r="F24" s="151">
        <f t="shared" si="1"/>
        <v>5.5384615384615383</v>
      </c>
      <c r="G24" s="151">
        <v>1.4115816100000003</v>
      </c>
      <c r="H24" s="151">
        <f t="shared" si="2"/>
        <v>3.9235857843610877</v>
      </c>
      <c r="J24" s="513"/>
      <c r="K24" s="150"/>
      <c r="L24" s="367">
        <v>18.96399795774526</v>
      </c>
      <c r="M24" s="378"/>
      <c r="N24" s="288">
        <f t="shared" si="5"/>
        <v>15.040412173384173</v>
      </c>
    </row>
    <row r="25" spans="1:15">
      <c r="A25" s="100" t="s">
        <v>44</v>
      </c>
      <c r="B25" s="101">
        <v>12</v>
      </c>
      <c r="C25" s="104">
        <f t="shared" si="3"/>
        <v>276.92307692307691</v>
      </c>
      <c r="D25" s="104">
        <f t="shared" ref="D25:D37" si="6">($C$14-$D$19)/13</f>
        <v>21.301775147928993</v>
      </c>
      <c r="E25" s="104">
        <f t="shared" si="4"/>
        <v>5.5384615384615383</v>
      </c>
      <c r="F25" s="104">
        <f t="shared" si="1"/>
        <v>26.840236686390533</v>
      </c>
      <c r="G25" s="104">
        <v>1.5386239549000005</v>
      </c>
      <c r="H25" s="104">
        <f t="shared" si="2"/>
        <v>17.444312238161505</v>
      </c>
      <c r="J25" s="2"/>
      <c r="L25" s="367">
        <v>17.098194931848774</v>
      </c>
      <c r="M25" s="378"/>
      <c r="N25" s="288">
        <f t="shared" si="5"/>
        <v>-0.34611730631273119</v>
      </c>
    </row>
    <row r="26" spans="1:15">
      <c r="A26" s="100" t="s">
        <v>43</v>
      </c>
      <c r="B26" s="101">
        <v>13</v>
      </c>
      <c r="C26" s="104">
        <f t="shared" si="3"/>
        <v>255.62130177514791</v>
      </c>
      <c r="D26" s="104">
        <f t="shared" si="6"/>
        <v>21.301775147928993</v>
      </c>
      <c r="E26" s="104">
        <f t="shared" si="4"/>
        <v>5.112426035502958</v>
      </c>
      <c r="F26" s="104">
        <f t="shared" si="1"/>
        <v>26.414201183431949</v>
      </c>
      <c r="G26" s="104">
        <v>1.6771001108410006</v>
      </c>
      <c r="H26" s="104">
        <f t="shared" si="2"/>
        <v>15.749925131294788</v>
      </c>
      <c r="J26" s="2"/>
      <c r="L26" s="367">
        <v>15.411217063955117</v>
      </c>
      <c r="M26" s="378"/>
      <c r="N26" s="288">
        <f t="shared" si="5"/>
        <v>-0.33870806733967029</v>
      </c>
    </row>
    <row r="27" spans="1:15">
      <c r="A27" s="100" t="s">
        <v>42</v>
      </c>
      <c r="B27" s="101">
        <v>14</v>
      </c>
      <c r="C27" s="104">
        <f t="shared" si="3"/>
        <v>234.31952662721892</v>
      </c>
      <c r="D27" s="104">
        <f t="shared" si="6"/>
        <v>21.301775147928993</v>
      </c>
      <c r="E27" s="104">
        <f t="shared" si="4"/>
        <v>4.6863905325443787</v>
      </c>
      <c r="F27" s="104">
        <f t="shared" si="1"/>
        <v>25.988165680473372</v>
      </c>
      <c r="G27" s="104">
        <v>1.8280391208166906</v>
      </c>
      <c r="H27" s="104">
        <f t="shared" si="2"/>
        <v>14.216416587880767</v>
      </c>
      <c r="J27" s="2"/>
      <c r="L27" s="367">
        <v>13.886253907561132</v>
      </c>
      <c r="M27" s="378"/>
      <c r="N27" s="288">
        <f t="shared" si="5"/>
        <v>-0.33016268031963492</v>
      </c>
    </row>
    <row r="28" spans="1:15">
      <c r="A28" s="100" t="s">
        <v>41</v>
      </c>
      <c r="B28" s="101">
        <v>15</v>
      </c>
      <c r="C28" s="104">
        <f t="shared" si="3"/>
        <v>213.01775147928993</v>
      </c>
      <c r="D28" s="104">
        <f t="shared" si="6"/>
        <v>21.301775147928993</v>
      </c>
      <c r="E28" s="104">
        <f t="shared" si="4"/>
        <v>4.2603550295857984</v>
      </c>
      <c r="F28" s="104">
        <f t="shared" si="1"/>
        <v>25.562130177514792</v>
      </c>
      <c r="G28" s="104">
        <v>1.9925626416901929</v>
      </c>
      <c r="H28" s="104">
        <f t="shared" si="2"/>
        <v>12.828771172700344</v>
      </c>
      <c r="J28" s="2"/>
      <c r="L28" s="367">
        <v>12.508051893382836</v>
      </c>
      <c r="M28" s="378"/>
      <c r="N28" s="288">
        <f t="shared" si="5"/>
        <v>-0.32071927931750821</v>
      </c>
    </row>
    <row r="29" spans="1:15">
      <c r="A29" s="100" t="s">
        <v>40</v>
      </c>
      <c r="B29" s="101">
        <v>16</v>
      </c>
      <c r="C29" s="104">
        <f t="shared" si="3"/>
        <v>191.71597633136093</v>
      </c>
      <c r="D29" s="104">
        <f t="shared" si="6"/>
        <v>21.301775147928993</v>
      </c>
      <c r="E29" s="104">
        <f t="shared" si="4"/>
        <v>3.834319526627219</v>
      </c>
      <c r="F29" s="104">
        <f t="shared" si="1"/>
        <v>25.136094674556212</v>
      </c>
      <c r="G29" s="104">
        <v>2.1718932794423105</v>
      </c>
      <c r="H29" s="104">
        <f t="shared" si="2"/>
        <v>11.573356256717435</v>
      </c>
      <c r="J29" s="2"/>
      <c r="L29" s="367">
        <v>11.262771837398748</v>
      </c>
      <c r="M29" s="378"/>
      <c r="N29" s="288">
        <f t="shared" si="5"/>
        <v>-0.31058441931868686</v>
      </c>
    </row>
    <row r="30" spans="1:15">
      <c r="A30" s="100" t="s">
        <v>39</v>
      </c>
      <c r="B30" s="101">
        <v>17</v>
      </c>
      <c r="C30" s="104">
        <f t="shared" si="3"/>
        <v>170.41420118343194</v>
      </c>
      <c r="D30" s="104">
        <f t="shared" si="6"/>
        <v>21.301775147928993</v>
      </c>
      <c r="E30" s="104">
        <f t="shared" si="4"/>
        <v>3.4082840236686387</v>
      </c>
      <c r="F30" s="104">
        <f t="shared" si="1"/>
        <v>24.710059171597631</v>
      </c>
      <c r="G30" s="104">
        <v>2.3673636745921187</v>
      </c>
      <c r="H30" s="104">
        <f t="shared" si="2"/>
        <v>10.437796033114774</v>
      </c>
      <c r="J30" s="2"/>
      <c r="L30" s="367">
        <v>10.137859365496533</v>
      </c>
      <c r="M30" s="378"/>
      <c r="N30" s="288">
        <f t="shared" si="5"/>
        <v>-0.29993666761824045</v>
      </c>
    </row>
    <row r="31" spans="1:15">
      <c r="A31" s="100" t="s">
        <v>38</v>
      </c>
      <c r="B31" s="101">
        <v>18</v>
      </c>
      <c r="C31" s="104">
        <f t="shared" si="3"/>
        <v>149.11242603550295</v>
      </c>
      <c r="D31" s="104">
        <f t="shared" si="6"/>
        <v>21.301775147928993</v>
      </c>
      <c r="E31" s="104">
        <f t="shared" si="4"/>
        <v>2.9822485207100589</v>
      </c>
      <c r="F31" s="104">
        <f t="shared" si="1"/>
        <v>24.284023668639051</v>
      </c>
      <c r="G31" s="104">
        <v>2.5804264053054093</v>
      </c>
      <c r="H31" s="104">
        <f t="shared" si="2"/>
        <v>9.4108569105906703</v>
      </c>
      <c r="J31" s="2"/>
      <c r="L31" s="367">
        <v>9.1219270931602559</v>
      </c>
      <c r="M31" s="378"/>
      <c r="N31" s="288">
        <f t="shared" si="5"/>
        <v>-0.28892981743041446</v>
      </c>
    </row>
    <row r="32" spans="1:15">
      <c r="A32" s="153" t="s">
        <v>37</v>
      </c>
      <c r="B32" s="152">
        <v>19</v>
      </c>
      <c r="C32" s="151">
        <f t="shared" si="3"/>
        <v>127.81065088757396</v>
      </c>
      <c r="D32" s="151">
        <f t="shared" si="6"/>
        <v>21.301775147928993</v>
      </c>
      <c r="E32" s="151">
        <f t="shared" si="4"/>
        <v>2.556213017751479</v>
      </c>
      <c r="F32" s="151">
        <f t="shared" si="1"/>
        <v>23.857988165680471</v>
      </c>
      <c r="G32" s="151">
        <v>2.812664781782896</v>
      </c>
      <c r="H32" s="151">
        <f t="shared" si="2"/>
        <v>8.4823432640121919</v>
      </c>
      <c r="J32" s="513" t="s">
        <v>81</v>
      </c>
      <c r="K32" s="150"/>
      <c r="L32" s="303"/>
      <c r="M32" s="378"/>
      <c r="N32" s="288">
        <f t="shared" si="5"/>
        <v>-8.4823432640121919</v>
      </c>
    </row>
    <row r="33" spans="1:14">
      <c r="A33" s="153" t="s">
        <v>36</v>
      </c>
      <c r="B33" s="152">
        <v>20</v>
      </c>
      <c r="C33" s="151">
        <f t="shared" si="3"/>
        <v>106.50887573964496</v>
      </c>
      <c r="D33" s="151">
        <f t="shared" si="6"/>
        <v>21.301775147928993</v>
      </c>
      <c r="E33" s="151">
        <f t="shared" si="4"/>
        <v>2.1301775147928992</v>
      </c>
      <c r="F33" s="151">
        <f t="shared" si="1"/>
        <v>23.431952662721891</v>
      </c>
      <c r="G33" s="151">
        <v>3.0658046121433573</v>
      </c>
      <c r="H33" s="151">
        <f t="shared" si="2"/>
        <v>7.6430026133792675</v>
      </c>
      <c r="J33" s="513"/>
      <c r="K33" s="150"/>
      <c r="L33" s="303"/>
      <c r="M33" s="378"/>
      <c r="N33" s="288">
        <f t="shared" si="5"/>
        <v>-7.6430026133792675</v>
      </c>
    </row>
    <row r="34" spans="1:14">
      <c r="A34" s="153" t="s">
        <v>35</v>
      </c>
      <c r="B34" s="152">
        <v>21</v>
      </c>
      <c r="C34" s="151">
        <f t="shared" si="3"/>
        <v>85.207100591715971</v>
      </c>
      <c r="D34" s="151">
        <f t="shared" si="6"/>
        <v>21.301775147928993</v>
      </c>
      <c r="E34" s="151">
        <f t="shared" si="4"/>
        <v>1.7041420118343193</v>
      </c>
      <c r="F34" s="151">
        <f t="shared" si="1"/>
        <v>23.005917159763314</v>
      </c>
      <c r="G34" s="151">
        <v>3.3417270272362596</v>
      </c>
      <c r="H34" s="151">
        <f t="shared" si="2"/>
        <v>6.88443938486206</v>
      </c>
      <c r="J34" s="513"/>
      <c r="K34" s="150"/>
      <c r="L34" s="303"/>
      <c r="M34" s="378"/>
      <c r="N34" s="288">
        <f t="shared" si="5"/>
        <v>-6.88443938486206</v>
      </c>
    </row>
    <row r="35" spans="1:14">
      <c r="A35" s="153" t="s">
        <v>34</v>
      </c>
      <c r="B35" s="152">
        <v>22</v>
      </c>
      <c r="C35" s="151">
        <f t="shared" si="3"/>
        <v>63.905325443786978</v>
      </c>
      <c r="D35" s="151">
        <f t="shared" si="6"/>
        <v>21.301775147928993</v>
      </c>
      <c r="E35" s="151">
        <f t="shared" si="4"/>
        <v>1.2781065088757395</v>
      </c>
      <c r="F35" s="151">
        <f t="shared" si="1"/>
        <v>22.579881656804734</v>
      </c>
      <c r="G35" s="151">
        <v>3.6424824596875229</v>
      </c>
      <c r="H35" s="151">
        <f t="shared" si="2"/>
        <v>6.1990364831411684</v>
      </c>
      <c r="J35" s="513"/>
      <c r="K35" s="150"/>
      <c r="L35" s="303"/>
      <c r="M35" s="378"/>
      <c r="N35" s="288">
        <f t="shared" si="5"/>
        <v>-6.1990364831411684</v>
      </c>
    </row>
    <row r="36" spans="1:14">
      <c r="A36" s="153" t="s">
        <v>33</v>
      </c>
      <c r="B36" s="152">
        <v>23</v>
      </c>
      <c r="C36" s="151">
        <f t="shared" si="3"/>
        <v>42.603550295857985</v>
      </c>
      <c r="D36" s="151">
        <f t="shared" si="6"/>
        <v>21.301775147928993</v>
      </c>
      <c r="E36" s="151">
        <f t="shared" si="4"/>
        <v>0.85207100591715967</v>
      </c>
      <c r="F36" s="151">
        <f t="shared" si="1"/>
        <v>22.153846153846153</v>
      </c>
      <c r="G36" s="151">
        <v>3.9703058810594003</v>
      </c>
      <c r="H36" s="151">
        <f t="shared" si="2"/>
        <v>5.5798839730541925</v>
      </c>
      <c r="J36" s="513"/>
      <c r="K36" s="150"/>
      <c r="L36" s="303"/>
      <c r="M36" s="378"/>
      <c r="N36" s="288">
        <f t="shared" si="5"/>
        <v>-5.5798839730541925</v>
      </c>
    </row>
    <row r="37" spans="1:14">
      <c r="A37" s="153" t="s">
        <v>32</v>
      </c>
      <c r="B37" s="152">
        <v>24</v>
      </c>
      <c r="C37" s="151">
        <f t="shared" si="3"/>
        <v>21.301775147928993</v>
      </c>
      <c r="D37" s="151">
        <f t="shared" si="6"/>
        <v>21.301775147928993</v>
      </c>
      <c r="E37" s="151">
        <f t="shared" si="4"/>
        <v>0.42603550295857984</v>
      </c>
      <c r="F37" s="151">
        <f t="shared" si="1"/>
        <v>21.727810650887573</v>
      </c>
      <c r="G37" s="151">
        <v>4.3276334103547462</v>
      </c>
      <c r="H37" s="151">
        <f t="shared" si="2"/>
        <v>5.0207142312237796</v>
      </c>
      <c r="J37" s="513"/>
      <c r="K37" s="150"/>
      <c r="L37" s="303"/>
      <c r="M37" s="378"/>
      <c r="N37" s="288">
        <f t="shared" si="5"/>
        <v>-5.0207142312237796</v>
      </c>
    </row>
    <row r="38" spans="1:14" s="141" customFormat="1">
      <c r="A38" s="149"/>
      <c r="B38" s="148"/>
      <c r="C38" s="142"/>
      <c r="D38" s="143"/>
      <c r="E38" s="147"/>
      <c r="F38" s="147"/>
      <c r="G38" s="142"/>
      <c r="H38" s="147"/>
      <c r="K38" s="66"/>
      <c r="L38" s="303"/>
      <c r="M38" s="378"/>
      <c r="N38" s="288"/>
    </row>
    <row r="39" spans="1:14" s="141" customFormat="1">
      <c r="A39" s="146"/>
      <c r="C39" s="143"/>
      <c r="D39" s="143"/>
      <c r="E39" s="142"/>
      <c r="F39" s="142"/>
      <c r="G39" s="98" t="s">
        <v>67</v>
      </c>
      <c r="H39" s="369">
        <f>SUM(H14:H37)</f>
        <v>229.30883396133609</v>
      </c>
      <c r="K39" s="66"/>
      <c r="L39" s="303"/>
      <c r="M39" s="378"/>
      <c r="N39" s="368"/>
    </row>
    <row r="40" spans="1:14" s="141" customFormat="1">
      <c r="A40" s="146"/>
      <c r="C40" s="143"/>
      <c r="D40" s="143"/>
      <c r="E40" s="142"/>
      <c r="F40" s="361"/>
      <c r="G40" s="370" t="s">
        <v>78</v>
      </c>
      <c r="H40" s="371">
        <f>300*(1+0.09)^7-H39</f>
        <v>319.10290228367114</v>
      </c>
      <c r="K40" s="66"/>
      <c r="L40" s="379"/>
      <c r="M40" s="379"/>
      <c r="N40" s="379"/>
    </row>
    <row r="41" spans="1:14" s="66" customFormat="1" ht="30" customHeight="1">
      <c r="A41" s="137"/>
      <c r="C41" s="136"/>
      <c r="D41" s="136"/>
      <c r="E41" s="138"/>
      <c r="F41" s="373"/>
      <c r="G41" s="374"/>
      <c r="H41" s="375"/>
      <c r="L41" s="379"/>
      <c r="M41" s="379"/>
      <c r="N41" s="379"/>
    </row>
    <row r="42" spans="1:14" s="45" customFormat="1">
      <c r="A42" s="291" t="s">
        <v>141</v>
      </c>
      <c r="B42" s="291" t="s">
        <v>142</v>
      </c>
      <c r="C42" s="293"/>
      <c r="D42" s="293"/>
      <c r="E42" s="298"/>
      <c r="F42" s="298"/>
      <c r="G42" s="299"/>
      <c r="H42" s="300"/>
      <c r="I42" s="294"/>
      <c r="J42" s="294"/>
      <c r="K42" s="294"/>
      <c r="L42" s="294"/>
      <c r="M42" s="294"/>
      <c r="N42" s="294"/>
    </row>
    <row r="43" spans="1:14" s="141" customFormat="1" ht="43.5" customHeight="1">
      <c r="A43" s="145"/>
      <c r="B43" s="144"/>
      <c r="C43" s="93"/>
      <c r="D43" s="143"/>
      <c r="E43" s="51"/>
      <c r="F43" s="51"/>
      <c r="G43" s="64" t="s">
        <v>180</v>
      </c>
      <c r="H43" s="116">
        <f>'Example 1_ step 0'!H34*(1+$G$6)^B20</f>
        <v>266.8851952145248</v>
      </c>
      <c r="K43" s="66"/>
      <c r="L43" s="379"/>
      <c r="M43" s="379"/>
      <c r="N43" s="411" t="s">
        <v>162</v>
      </c>
    </row>
    <row r="44" spans="1:14" s="66" customFormat="1" ht="18" customHeight="1">
      <c r="C44" s="49"/>
      <c r="D44" s="49"/>
      <c r="E44" s="55"/>
      <c r="F44" s="120"/>
      <c r="G44" s="364" t="s">
        <v>181</v>
      </c>
      <c r="H44" s="363">
        <f>H40-H43</f>
        <v>52.217707069146343</v>
      </c>
      <c r="I44" s="114" t="s">
        <v>76</v>
      </c>
      <c r="L44" s="380"/>
      <c r="M44" s="379"/>
      <c r="N44" s="382">
        <f>SUM(L20:L31)-SUM(H20:H37)</f>
        <v>52.217707069146229</v>
      </c>
    </row>
    <row r="45" spans="1:14" s="66" customFormat="1">
      <c r="F45" s="120"/>
    </row>
    <row r="46" spans="1:14" s="66" customFormat="1">
      <c r="F46" s="120"/>
    </row>
    <row r="47" spans="1:14" s="66" customFormat="1">
      <c r="F47" s="51"/>
      <c r="H47" s="139"/>
    </row>
    <row r="48" spans="1:14" s="66" customFormat="1">
      <c r="A48" s="137"/>
      <c r="C48" s="136"/>
      <c r="D48" s="136"/>
      <c r="F48" s="51"/>
    </row>
    <row r="49" spans="1:14" s="66" customFormat="1">
      <c r="A49" s="137"/>
      <c r="C49" s="136"/>
      <c r="D49" s="136"/>
    </row>
    <row r="50" spans="1:14" s="45" customFormat="1" ht="15.75" customHeight="1">
      <c r="A50" s="291" t="s">
        <v>152</v>
      </c>
      <c r="B50" s="291" t="s">
        <v>143</v>
      </c>
      <c r="C50" s="293"/>
      <c r="D50" s="293"/>
      <c r="E50" s="298"/>
      <c r="F50" s="298"/>
      <c r="G50" s="299"/>
      <c r="H50" s="300"/>
      <c r="I50" s="294"/>
      <c r="J50" s="294"/>
      <c r="K50" s="294"/>
      <c r="L50" s="294"/>
      <c r="M50" s="294"/>
      <c r="N50" s="294"/>
    </row>
    <row r="51" spans="1:14" s="45" customFormat="1">
      <c r="A51" s="47"/>
      <c r="C51" s="46"/>
      <c r="D51" s="46"/>
      <c r="I51" s="2"/>
    </row>
    <row r="52" spans="1:14" s="45" customFormat="1">
      <c r="A52" s="311" t="s">
        <v>0</v>
      </c>
      <c r="B52" s="56">
        <f>B6</f>
        <v>300</v>
      </c>
      <c r="C52" s="46"/>
      <c r="D52" s="46"/>
      <c r="I52" s="2"/>
    </row>
    <row r="53" spans="1:14" s="45" customFormat="1">
      <c r="A53" s="311" t="s">
        <v>145</v>
      </c>
      <c r="B53" s="56">
        <f>'Example 1_ step 0'!H34</f>
        <v>145.9953412240389</v>
      </c>
      <c r="C53" s="46"/>
      <c r="D53" s="46"/>
      <c r="I53" s="2"/>
    </row>
    <row r="54" spans="1:14" s="45" customFormat="1" ht="28.7" customHeight="1">
      <c r="A54" s="307" t="s">
        <v>146</v>
      </c>
      <c r="B54" s="56">
        <f>H44</f>
        <v>52.217707069146343</v>
      </c>
      <c r="C54" s="46"/>
      <c r="D54" s="46"/>
      <c r="I54" s="2"/>
    </row>
    <row r="55" spans="1:14" s="45" customFormat="1">
      <c r="A55" s="289" t="s">
        <v>147</v>
      </c>
      <c r="B55" s="56">
        <f>B53+B54</f>
        <v>198.21304829318524</v>
      </c>
      <c r="C55" s="46"/>
      <c r="D55" s="46"/>
      <c r="I55" s="2"/>
    </row>
    <row r="56" spans="1:14" s="45" customFormat="1" ht="38.25">
      <c r="A56" s="366" t="s">
        <v>144</v>
      </c>
      <c r="B56" s="388">
        <f>IF((B53+B54)&lt;=B52,B54,B52-B53)</f>
        <v>52.217707069146343</v>
      </c>
      <c r="C56" s="46"/>
      <c r="D56" s="46"/>
      <c r="I56" s="2"/>
    </row>
    <row r="57" spans="1:14" s="45" customFormat="1">
      <c r="A57" s="47"/>
      <c r="C57" s="46"/>
      <c r="D57" s="46"/>
      <c r="I57" s="2"/>
    </row>
    <row r="58" spans="1:14" s="45" customFormat="1">
      <c r="A58" s="47"/>
      <c r="C58" s="46"/>
      <c r="D58" s="46"/>
      <c r="I58" s="2"/>
    </row>
    <row r="59" spans="1:14" s="45" customFormat="1">
      <c r="A59" s="47"/>
      <c r="C59" s="46"/>
      <c r="D59" s="46"/>
      <c r="I59" s="2"/>
    </row>
    <row r="60" spans="1:14" s="45" customFormat="1">
      <c r="A60" s="47"/>
      <c r="C60" s="46"/>
      <c r="D60" s="46"/>
      <c r="I60" s="2"/>
    </row>
  </sheetData>
  <mergeCells count="5">
    <mergeCell ref="L10:N10"/>
    <mergeCell ref="D10:F10"/>
    <mergeCell ref="I19:I20"/>
    <mergeCell ref="J19:J24"/>
    <mergeCell ref="J32:J37"/>
  </mergeCells>
  <pageMargins left="0.18" right="0.17" top="0.4" bottom="0.39" header="0.25" footer="0.28999999999999998"/>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49"/>
  <sheetViews>
    <sheetView zoomScaleNormal="100" workbookViewId="0"/>
  </sheetViews>
  <sheetFormatPr defaultColWidth="9.140625" defaultRowHeight="12.75"/>
  <cols>
    <col min="1" max="1" width="21.140625" style="44" customWidth="1"/>
    <col min="2" max="2" width="12.85546875" style="1" customWidth="1"/>
    <col min="3" max="3" width="9.42578125" style="43" customWidth="1"/>
    <col min="4" max="4" width="8.85546875" style="43" customWidth="1"/>
    <col min="5" max="5" width="7.85546875" style="1" customWidth="1"/>
    <col min="6" max="6" width="13.42578125" style="1" customWidth="1"/>
    <col min="7" max="7" width="9.42578125" style="1" customWidth="1"/>
    <col min="8" max="8" width="10.140625" style="1" customWidth="1"/>
    <col min="9" max="9" width="15.140625" style="1" customWidth="1"/>
    <col min="10" max="10" width="17.140625" style="1" customWidth="1"/>
    <col min="11" max="16384" width="9.140625" style="1"/>
  </cols>
  <sheetData>
    <row r="1" spans="1:14" s="188" customFormat="1" ht="32.450000000000003" customHeight="1">
      <c r="A1" s="295" t="s">
        <v>86</v>
      </c>
      <c r="B1" s="296"/>
      <c r="C1" s="297"/>
      <c r="D1" s="297"/>
    </row>
    <row r="2" spans="1:14">
      <c r="A2" s="291" t="s">
        <v>140</v>
      </c>
      <c r="B2" s="292" t="s">
        <v>151</v>
      </c>
      <c r="C2" s="293"/>
      <c r="D2" s="293"/>
      <c r="E2" s="294"/>
      <c r="F2" s="294"/>
      <c r="G2" s="294"/>
      <c r="H2" s="294"/>
      <c r="I2" s="294"/>
      <c r="J2" s="294"/>
      <c r="K2" s="45"/>
      <c r="L2" s="45"/>
      <c r="M2" s="45"/>
      <c r="N2" s="45"/>
    </row>
    <row r="3" spans="1:14">
      <c r="A3" s="76"/>
    </row>
    <row r="4" spans="1:14">
      <c r="A4" s="75" t="s">
        <v>64</v>
      </c>
      <c r="B4" s="73"/>
      <c r="C4" s="74"/>
      <c r="D4" s="74"/>
      <c r="E4" s="73"/>
      <c r="F4" s="73"/>
      <c r="G4" s="73"/>
      <c r="H4" s="73"/>
      <c r="I4" s="122"/>
    </row>
    <row r="5" spans="1:14">
      <c r="A5" s="72" t="s">
        <v>63</v>
      </c>
      <c r="B5" s="71">
        <v>300</v>
      </c>
      <c r="F5" s="1" t="s">
        <v>62</v>
      </c>
      <c r="G5" s="41">
        <v>0.09</v>
      </c>
    </row>
    <row r="6" spans="1:14">
      <c r="A6" s="72" t="s">
        <v>61</v>
      </c>
      <c r="B6" s="92">
        <v>0.02</v>
      </c>
    </row>
    <row r="7" spans="1:14" ht="15" customHeight="1">
      <c r="A7" s="91" t="s">
        <v>60</v>
      </c>
      <c r="B7" s="90" t="s">
        <v>59</v>
      </c>
    </row>
    <row r="8" spans="1:14" ht="42" customHeight="1">
      <c r="A8" s="89"/>
      <c r="B8" s="88"/>
    </row>
    <row r="9" spans="1:14" s="85" customFormat="1">
      <c r="A9" s="87"/>
      <c r="C9" s="86"/>
      <c r="D9" s="514" t="s">
        <v>58</v>
      </c>
      <c r="E9" s="514"/>
      <c r="F9" s="514"/>
    </row>
    <row r="10" spans="1:14" s="81" customFormat="1" ht="48" customHeight="1">
      <c r="A10" s="84" t="s">
        <v>57</v>
      </c>
      <c r="B10" s="82" t="s">
        <v>56</v>
      </c>
      <c r="C10" s="83" t="s">
        <v>55</v>
      </c>
      <c r="D10" s="83" t="s">
        <v>54</v>
      </c>
      <c r="E10" s="82" t="s">
        <v>53</v>
      </c>
      <c r="F10" s="82" t="s">
        <v>52</v>
      </c>
      <c r="G10" s="82" t="s">
        <v>84</v>
      </c>
      <c r="H10" s="82" t="s">
        <v>136</v>
      </c>
      <c r="J10" s="302" t="s">
        <v>103</v>
      </c>
    </row>
    <row r="11" spans="1:14">
      <c r="J11" s="389"/>
    </row>
    <row r="12" spans="1:14">
      <c r="A12" s="162" t="s">
        <v>74</v>
      </c>
      <c r="G12" s="80"/>
      <c r="J12" s="389"/>
      <c r="M12" s="45"/>
      <c r="N12" s="45"/>
    </row>
    <row r="13" spans="1:14">
      <c r="A13" s="162" t="s">
        <v>73</v>
      </c>
      <c r="B13" s="79">
        <v>1</v>
      </c>
      <c r="C13" s="161">
        <f>$B$5</f>
        <v>300</v>
      </c>
      <c r="D13" s="161"/>
      <c r="E13" s="161">
        <f>C13*$B$6</f>
        <v>6</v>
      </c>
      <c r="F13" s="161">
        <f t="shared" ref="F13:F30" si="0">D13+E13</f>
        <v>6</v>
      </c>
      <c r="G13" s="161">
        <v>0.5962673268792158</v>
      </c>
      <c r="H13" s="161">
        <f t="shared" ref="H13:H30" si="1">F13/G13</f>
        <v>10.062600665046004</v>
      </c>
      <c r="I13" s="161"/>
      <c r="J13" s="390"/>
      <c r="M13" s="45"/>
      <c r="N13" s="45"/>
    </row>
    <row r="14" spans="1:14">
      <c r="A14" s="162" t="s">
        <v>72</v>
      </c>
      <c r="B14" s="79">
        <v>2</v>
      </c>
      <c r="C14" s="161">
        <f>$B$5</f>
        <v>300</v>
      </c>
      <c r="D14" s="161"/>
      <c r="E14" s="161">
        <f>C14*$B$6</f>
        <v>6</v>
      </c>
      <c r="F14" s="161">
        <f t="shared" si="0"/>
        <v>6</v>
      </c>
      <c r="G14" s="161">
        <v>0.64993138629834524</v>
      </c>
      <c r="H14" s="161">
        <f t="shared" si="1"/>
        <v>9.2317437294000033</v>
      </c>
      <c r="I14" s="161"/>
      <c r="J14" s="390"/>
      <c r="N14" s="43"/>
    </row>
    <row r="15" spans="1:14">
      <c r="A15" s="162" t="s">
        <v>71</v>
      </c>
      <c r="B15" s="79">
        <v>3</v>
      </c>
      <c r="C15" s="161">
        <f>$B$5</f>
        <v>300</v>
      </c>
      <c r="D15" s="161"/>
      <c r="E15" s="161">
        <f>C15*$B$6</f>
        <v>6</v>
      </c>
      <c r="F15" s="161">
        <f t="shared" si="0"/>
        <v>6</v>
      </c>
      <c r="G15" s="161">
        <v>0.7084252110651964</v>
      </c>
      <c r="H15" s="161">
        <f t="shared" si="1"/>
        <v>8.4694896600000025</v>
      </c>
      <c r="I15" s="161"/>
      <c r="J15" s="390"/>
      <c r="N15" s="43"/>
    </row>
    <row r="16" spans="1:14">
      <c r="A16" s="162" t="s">
        <v>70</v>
      </c>
      <c r="B16" s="79">
        <v>4</v>
      </c>
      <c r="C16" s="161">
        <f>$B$5</f>
        <v>300</v>
      </c>
      <c r="D16" s="161"/>
      <c r="E16" s="161">
        <f>C16*$B$6</f>
        <v>6</v>
      </c>
      <c r="F16" s="161">
        <f t="shared" si="0"/>
        <v>6</v>
      </c>
      <c r="G16" s="161">
        <v>0.77218348006106419</v>
      </c>
      <c r="H16" s="161">
        <f t="shared" si="1"/>
        <v>7.7701740000000008</v>
      </c>
      <c r="I16" s="161"/>
      <c r="J16" s="390"/>
      <c r="N16" s="43"/>
    </row>
    <row r="17" spans="1:10">
      <c r="A17" s="162" t="s">
        <v>69</v>
      </c>
      <c r="B17" s="79">
        <v>5</v>
      </c>
      <c r="C17" s="161">
        <f>C16-D16</f>
        <v>300</v>
      </c>
      <c r="D17" s="56"/>
      <c r="E17" s="180"/>
      <c r="F17" s="161">
        <f t="shared" si="0"/>
        <v>0</v>
      </c>
      <c r="G17" s="161">
        <v>0.84167999326655996</v>
      </c>
      <c r="H17" s="161">
        <f t="shared" si="1"/>
        <v>0</v>
      </c>
      <c r="I17" s="161"/>
      <c r="J17" s="367">
        <f>$E$13/G17</f>
        <v>7.1286000000000005</v>
      </c>
    </row>
    <row r="18" spans="1:10" s="45" customFormat="1" ht="12.75" customHeight="1">
      <c r="A18" s="169" t="s">
        <v>68</v>
      </c>
      <c r="B18" s="168">
        <v>6</v>
      </c>
      <c r="C18" s="167">
        <f>C17-D17</f>
        <v>300</v>
      </c>
      <c r="D18" s="167">
        <f>C18/13</f>
        <v>23.076923076923077</v>
      </c>
      <c r="E18" s="181"/>
      <c r="F18" s="167">
        <f t="shared" si="0"/>
        <v>23.076923076923077</v>
      </c>
      <c r="G18" s="167">
        <v>0.9174311926605504</v>
      </c>
      <c r="H18" s="167">
        <f t="shared" si="1"/>
        <v>25.153846153846157</v>
      </c>
      <c r="I18" s="515" t="s">
        <v>79</v>
      </c>
      <c r="J18" s="367">
        <f>$E$13/G18</f>
        <v>6.54</v>
      </c>
    </row>
    <row r="19" spans="1:10" s="45" customFormat="1">
      <c r="A19" s="59" t="s">
        <v>49</v>
      </c>
      <c r="B19" s="58">
        <v>7</v>
      </c>
      <c r="C19" s="56"/>
      <c r="D19" s="56"/>
      <c r="E19" s="56">
        <f t="shared" ref="E19:E30" si="2">(C19*$B$6)</f>
        <v>0</v>
      </c>
      <c r="F19" s="56">
        <f t="shared" si="0"/>
        <v>0</v>
      </c>
      <c r="G19" s="56">
        <v>1</v>
      </c>
      <c r="H19" s="56">
        <f t="shared" si="1"/>
        <v>0</v>
      </c>
      <c r="I19" s="515"/>
      <c r="J19" s="390"/>
    </row>
    <row r="20" spans="1:10" s="45" customFormat="1">
      <c r="A20" s="59" t="s">
        <v>48</v>
      </c>
      <c r="B20" s="58">
        <v>8</v>
      </c>
      <c r="C20" s="56"/>
      <c r="D20" s="56"/>
      <c r="E20" s="56">
        <f t="shared" si="2"/>
        <v>0</v>
      </c>
      <c r="F20" s="56">
        <f t="shared" si="0"/>
        <v>0</v>
      </c>
      <c r="G20" s="56">
        <v>1.0900000000000001</v>
      </c>
      <c r="H20" s="56">
        <f t="shared" si="1"/>
        <v>0</v>
      </c>
      <c r="I20" s="56"/>
      <c r="J20" s="390"/>
    </row>
    <row r="21" spans="1:10" s="45" customFormat="1">
      <c r="A21" s="59" t="s">
        <v>47</v>
      </c>
      <c r="B21" s="58">
        <v>9</v>
      </c>
      <c r="C21" s="56"/>
      <c r="D21" s="56"/>
      <c r="E21" s="56">
        <f t="shared" si="2"/>
        <v>0</v>
      </c>
      <c r="F21" s="56">
        <f t="shared" si="0"/>
        <v>0</v>
      </c>
      <c r="G21" s="56">
        <v>1.1881000000000002</v>
      </c>
      <c r="H21" s="56">
        <f t="shared" si="1"/>
        <v>0</v>
      </c>
      <c r="I21" s="56"/>
      <c r="J21" s="390"/>
    </row>
    <row r="22" spans="1:10" s="45" customFormat="1">
      <c r="A22" s="59" t="s">
        <v>46</v>
      </c>
      <c r="B22" s="58">
        <v>10</v>
      </c>
      <c r="C22" s="56"/>
      <c r="D22" s="56"/>
      <c r="E22" s="56">
        <f t="shared" si="2"/>
        <v>0</v>
      </c>
      <c r="F22" s="56">
        <f t="shared" si="0"/>
        <v>0</v>
      </c>
      <c r="G22" s="56">
        <v>1.2950290000000002</v>
      </c>
      <c r="H22" s="56">
        <f t="shared" si="1"/>
        <v>0</v>
      </c>
      <c r="I22" s="56"/>
      <c r="J22" s="390"/>
    </row>
    <row r="23" spans="1:10" s="45" customFormat="1">
      <c r="A23" s="59" t="s">
        <v>45</v>
      </c>
      <c r="B23" s="58">
        <v>11</v>
      </c>
      <c r="C23" s="56"/>
      <c r="D23" s="56"/>
      <c r="E23" s="56">
        <f t="shared" si="2"/>
        <v>0</v>
      </c>
      <c r="F23" s="56">
        <f t="shared" si="0"/>
        <v>0</v>
      </c>
      <c r="G23" s="56">
        <v>1.4115816100000003</v>
      </c>
      <c r="H23" s="56">
        <f t="shared" si="1"/>
        <v>0</v>
      </c>
      <c r="I23" s="56"/>
      <c r="J23" s="390"/>
    </row>
    <row r="24" spans="1:10">
      <c r="A24" s="162" t="s">
        <v>44</v>
      </c>
      <c r="B24" s="79">
        <v>12</v>
      </c>
      <c r="C24" s="161"/>
      <c r="D24" s="56"/>
      <c r="E24" s="161">
        <f t="shared" si="2"/>
        <v>0</v>
      </c>
      <c r="F24" s="161">
        <f t="shared" si="0"/>
        <v>0</v>
      </c>
      <c r="G24" s="161">
        <v>1.5386239549000005</v>
      </c>
      <c r="H24" s="161">
        <f t="shared" si="1"/>
        <v>0</v>
      </c>
      <c r="I24" s="161"/>
      <c r="J24" s="390"/>
    </row>
    <row r="25" spans="1:10">
      <c r="A25" s="162" t="s">
        <v>43</v>
      </c>
      <c r="B25" s="79">
        <v>13</v>
      </c>
      <c r="C25" s="161"/>
      <c r="D25" s="56"/>
      <c r="E25" s="161">
        <f t="shared" si="2"/>
        <v>0</v>
      </c>
      <c r="F25" s="161">
        <f t="shared" si="0"/>
        <v>0</v>
      </c>
      <c r="G25" s="161">
        <v>1.6771001108410006</v>
      </c>
      <c r="H25" s="161">
        <f t="shared" si="1"/>
        <v>0</v>
      </c>
      <c r="I25" s="161"/>
      <c r="J25" s="390"/>
    </row>
    <row r="26" spans="1:10">
      <c r="A26" s="162" t="s">
        <v>42</v>
      </c>
      <c r="B26" s="79">
        <v>14</v>
      </c>
      <c r="C26" s="161"/>
      <c r="D26" s="56"/>
      <c r="E26" s="161">
        <f t="shared" si="2"/>
        <v>0</v>
      </c>
      <c r="F26" s="161">
        <f t="shared" si="0"/>
        <v>0</v>
      </c>
      <c r="G26" s="161">
        <v>1.8280391208166906</v>
      </c>
      <c r="H26" s="161">
        <f t="shared" si="1"/>
        <v>0</v>
      </c>
      <c r="I26" s="161"/>
      <c r="J26" s="390"/>
    </row>
    <row r="27" spans="1:10">
      <c r="A27" s="162" t="s">
        <v>41</v>
      </c>
      <c r="B27" s="79">
        <v>15</v>
      </c>
      <c r="C27" s="161"/>
      <c r="D27" s="56"/>
      <c r="E27" s="161">
        <f t="shared" si="2"/>
        <v>0</v>
      </c>
      <c r="F27" s="161">
        <f t="shared" si="0"/>
        <v>0</v>
      </c>
      <c r="G27" s="161">
        <v>1.9925626416901929</v>
      </c>
      <c r="H27" s="161">
        <f t="shared" si="1"/>
        <v>0</v>
      </c>
      <c r="I27" s="161"/>
      <c r="J27" s="390"/>
    </row>
    <row r="28" spans="1:10">
      <c r="A28" s="162" t="s">
        <v>40</v>
      </c>
      <c r="B28" s="79">
        <v>16</v>
      </c>
      <c r="C28" s="161"/>
      <c r="D28" s="56"/>
      <c r="E28" s="161">
        <f t="shared" si="2"/>
        <v>0</v>
      </c>
      <c r="F28" s="161">
        <f t="shared" si="0"/>
        <v>0</v>
      </c>
      <c r="G28" s="161">
        <v>2.1718932794423105</v>
      </c>
      <c r="H28" s="161">
        <f t="shared" si="1"/>
        <v>0</v>
      </c>
      <c r="I28" s="161"/>
      <c r="J28" s="390"/>
    </row>
    <row r="29" spans="1:10">
      <c r="A29" s="162" t="s">
        <v>39</v>
      </c>
      <c r="B29" s="79">
        <v>17</v>
      </c>
      <c r="C29" s="161"/>
      <c r="D29" s="56"/>
      <c r="E29" s="161">
        <f t="shared" si="2"/>
        <v>0</v>
      </c>
      <c r="F29" s="161">
        <f t="shared" si="0"/>
        <v>0</v>
      </c>
      <c r="G29" s="161">
        <v>2.3673636745921187</v>
      </c>
      <c r="H29" s="161">
        <f t="shared" si="1"/>
        <v>0</v>
      </c>
      <c r="I29" s="161"/>
      <c r="J29" s="390"/>
    </row>
    <row r="30" spans="1:10">
      <c r="A30" s="162" t="s">
        <v>38</v>
      </c>
      <c r="B30" s="79">
        <v>18</v>
      </c>
      <c r="C30" s="161"/>
      <c r="D30" s="56"/>
      <c r="E30" s="161">
        <f t="shared" si="2"/>
        <v>0</v>
      </c>
      <c r="F30" s="161">
        <f t="shared" si="0"/>
        <v>0</v>
      </c>
      <c r="G30" s="161">
        <v>2.5804264053054093</v>
      </c>
      <c r="H30" s="161">
        <f t="shared" si="1"/>
        <v>0</v>
      </c>
      <c r="I30" s="161"/>
      <c r="J30" s="390"/>
    </row>
    <row r="31" spans="1:10" s="45" customFormat="1" ht="16.5" customHeight="1">
      <c r="A31" s="59"/>
      <c r="B31" s="58"/>
      <c r="C31" s="56"/>
      <c r="D31" s="56"/>
      <c r="E31" s="56"/>
      <c r="F31" s="56"/>
      <c r="G31" s="56"/>
      <c r="H31" s="56"/>
      <c r="I31" s="56"/>
      <c r="J31" s="397" t="s">
        <v>109</v>
      </c>
    </row>
    <row r="32" spans="1:10" s="45" customFormat="1">
      <c r="A32" s="47"/>
      <c r="C32" s="56"/>
      <c r="D32" s="56"/>
      <c r="E32" s="56"/>
      <c r="F32" s="56"/>
      <c r="G32" s="275" t="s">
        <v>67</v>
      </c>
      <c r="H32" s="272">
        <f>SUM(H13:H30)</f>
        <v>60.687854208292165</v>
      </c>
      <c r="I32" s="56"/>
      <c r="J32" s="391">
        <f>SUM(J13:J30)</f>
        <v>13.668600000000001</v>
      </c>
    </row>
    <row r="33" spans="1:10" s="45" customFormat="1">
      <c r="A33" s="47"/>
      <c r="D33" s="46"/>
      <c r="E33" s="54"/>
      <c r="J33" s="290"/>
    </row>
    <row r="34" spans="1:10" s="45" customFormat="1">
      <c r="A34" s="52"/>
      <c r="D34" s="49"/>
      <c r="E34" s="51"/>
      <c r="F34" s="364"/>
      <c r="G34" s="362" t="s">
        <v>78</v>
      </c>
      <c r="H34" s="383">
        <f>B5*(1+0.09)^7-H32</f>
        <v>487.72388203671505</v>
      </c>
      <c r="J34" s="290"/>
    </row>
    <row r="35" spans="1:10" s="45" customFormat="1">
      <c r="A35" s="52"/>
      <c r="D35" s="49"/>
      <c r="E35" s="51"/>
      <c r="F35" s="384"/>
      <c r="G35" s="385"/>
      <c r="H35" s="386"/>
      <c r="J35" s="290"/>
    </row>
    <row r="36" spans="1:10" s="45" customFormat="1">
      <c r="A36" s="291" t="s">
        <v>141</v>
      </c>
      <c r="B36" s="291" t="s">
        <v>142</v>
      </c>
      <c r="C36" s="293"/>
      <c r="D36" s="293"/>
      <c r="E36" s="298"/>
      <c r="F36" s="298"/>
      <c r="G36" s="299"/>
      <c r="H36" s="300"/>
      <c r="I36" s="294"/>
      <c r="J36" s="294"/>
    </row>
    <row r="37" spans="1:10" s="45" customFormat="1">
      <c r="A37" s="358"/>
      <c r="B37" s="358"/>
      <c r="C37" s="46"/>
      <c r="D37" s="46"/>
      <c r="E37" s="54"/>
      <c r="F37" s="54"/>
      <c r="G37" s="64"/>
      <c r="H37" s="117"/>
      <c r="J37" s="290"/>
    </row>
    <row r="38" spans="1:10" s="45" customFormat="1">
      <c r="A38" s="358"/>
      <c r="B38" s="358"/>
      <c r="C38" s="46"/>
      <c r="D38" s="46"/>
      <c r="E38" s="54"/>
      <c r="G38" s="64" t="s">
        <v>180</v>
      </c>
      <c r="H38" s="56">
        <f>'Example 1_ step 0'!H34*(1+$G$5)^B19</f>
        <v>266.8851952145248</v>
      </c>
      <c r="J38" s="290"/>
    </row>
    <row r="39" spans="1:10" s="45" customFormat="1">
      <c r="A39" s="358"/>
      <c r="B39" s="358"/>
      <c r="C39" s="46"/>
      <c r="D39" s="46"/>
      <c r="E39" s="54"/>
      <c r="G39" s="64"/>
      <c r="H39" s="56"/>
      <c r="J39" s="290"/>
    </row>
    <row r="40" spans="1:10" s="45" customFormat="1" ht="18.600000000000001" customHeight="1">
      <c r="A40" s="47"/>
      <c r="B40" s="51"/>
      <c r="C40" s="121"/>
      <c r="D40" s="46"/>
      <c r="F40" s="387"/>
      <c r="G40" s="362" t="s">
        <v>77</v>
      </c>
      <c r="H40" s="383">
        <f>H34-H38</f>
        <v>220.83868682219025</v>
      </c>
      <c r="I40" s="392" t="s">
        <v>76</v>
      </c>
      <c r="J40" s="381">
        <f>'Example 1_ case 1'!H39+'Example 1_ case 3'!J32</f>
        <v>220.83868682219023</v>
      </c>
    </row>
    <row r="41" spans="1:10" s="45" customFormat="1">
      <c r="A41" s="47"/>
      <c r="D41" s="46"/>
    </row>
    <row r="42" spans="1:10" s="45" customFormat="1">
      <c r="A42" s="47"/>
      <c r="C42" s="46"/>
      <c r="D42" s="46"/>
    </row>
    <row r="43" spans="1:10" s="45" customFormat="1" ht="15.75" customHeight="1">
      <c r="A43" s="291" t="s">
        <v>152</v>
      </c>
      <c r="B43" s="291" t="s">
        <v>143</v>
      </c>
      <c r="C43" s="293"/>
      <c r="D43" s="293"/>
      <c r="E43" s="298"/>
      <c r="F43" s="298"/>
      <c r="G43" s="299"/>
      <c r="H43" s="300"/>
      <c r="I43" s="294"/>
      <c r="J43" s="294"/>
    </row>
    <row r="44" spans="1:10" s="45" customFormat="1">
      <c r="A44" s="47"/>
      <c r="C44" s="46"/>
      <c r="D44" s="46"/>
      <c r="I44" s="2"/>
    </row>
    <row r="45" spans="1:10" s="45" customFormat="1">
      <c r="A45" s="311" t="s">
        <v>0</v>
      </c>
      <c r="B45" s="56">
        <f>B5</f>
        <v>300</v>
      </c>
      <c r="C45" s="46"/>
      <c r="D45" s="46"/>
      <c r="I45" s="2"/>
    </row>
    <row r="46" spans="1:10" s="45" customFormat="1">
      <c r="A46" s="311" t="s">
        <v>145</v>
      </c>
      <c r="B46" s="56">
        <f>'Example 1_ step 0'!H34</f>
        <v>145.9953412240389</v>
      </c>
      <c r="C46" s="46"/>
      <c r="D46" s="46"/>
      <c r="I46" s="2"/>
    </row>
    <row r="47" spans="1:10" s="45" customFormat="1" ht="28.7" customHeight="1">
      <c r="A47" s="307" t="s">
        <v>146</v>
      </c>
      <c r="B47" s="56">
        <f>H40</f>
        <v>220.83868682219025</v>
      </c>
      <c r="C47" s="46"/>
      <c r="D47" s="46"/>
      <c r="I47" s="2"/>
    </row>
    <row r="48" spans="1:10" s="45" customFormat="1">
      <c r="A48" s="289" t="s">
        <v>147</v>
      </c>
      <c r="B48" s="56">
        <f>B46+B47</f>
        <v>366.83402804622915</v>
      </c>
      <c r="C48" s="46"/>
      <c r="D48" s="46"/>
      <c r="I48" s="2"/>
    </row>
    <row r="49" spans="1:9" s="45" customFormat="1" ht="38.25">
      <c r="A49" s="366" t="s">
        <v>144</v>
      </c>
      <c r="B49" s="388">
        <f>IF((B46+B47)&lt;=B45,B47,B45-B46)</f>
        <v>154.0046587759611</v>
      </c>
      <c r="C49" s="46"/>
      <c r="D49" s="46"/>
      <c r="I49" s="2"/>
    </row>
  </sheetData>
  <mergeCells count="2">
    <mergeCell ref="D9:F9"/>
    <mergeCell ref="I18:I19"/>
  </mergeCells>
  <pageMargins left="0.18" right="0.17" top="0.4" bottom="0.39" header="0.25" footer="0.28999999999999998"/>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P53"/>
  <sheetViews>
    <sheetView zoomScaleNormal="100" workbookViewId="0"/>
  </sheetViews>
  <sheetFormatPr defaultColWidth="9.140625" defaultRowHeight="12.75"/>
  <cols>
    <col min="1" max="1" width="23.85546875" style="44" customWidth="1"/>
    <col min="2" max="2" width="9.140625" style="1" customWidth="1"/>
    <col min="3" max="3" width="10.140625" style="43" customWidth="1"/>
    <col min="4" max="4" width="8.85546875" style="43" customWidth="1"/>
    <col min="5" max="5" width="7.85546875" style="1" customWidth="1"/>
    <col min="6" max="6" width="11.140625" style="1" customWidth="1"/>
    <col min="7" max="7" width="13.140625" style="1" customWidth="1"/>
    <col min="8" max="8" width="15" style="1" customWidth="1"/>
    <col min="9" max="9" width="8.85546875" style="1" customWidth="1"/>
    <col min="10" max="10" width="9.140625" style="1" customWidth="1"/>
    <col min="11" max="11" width="1.42578125" style="45" customWidth="1"/>
    <col min="12" max="12" width="10.85546875" style="45" customWidth="1"/>
    <col min="13" max="15" width="9.140625" style="45"/>
    <col min="16" max="16" width="12.140625" style="45" customWidth="1"/>
    <col min="17" max="16384" width="9.140625" style="1"/>
  </cols>
  <sheetData>
    <row r="1" spans="1:16" s="188" customFormat="1" ht="31.35" customHeight="1">
      <c r="A1" s="295" t="s">
        <v>87</v>
      </c>
      <c r="B1" s="296"/>
      <c r="C1" s="297"/>
      <c r="D1" s="297"/>
      <c r="K1" s="393"/>
      <c r="L1" s="393"/>
      <c r="M1" s="393"/>
      <c r="N1" s="393"/>
      <c r="O1" s="393"/>
      <c r="P1" s="393"/>
    </row>
    <row r="2" spans="1:16">
      <c r="A2" s="291" t="s">
        <v>140</v>
      </c>
      <c r="B2" s="292" t="s">
        <v>151</v>
      </c>
      <c r="C2" s="293"/>
      <c r="D2" s="293"/>
      <c r="E2" s="294"/>
      <c r="F2" s="294"/>
      <c r="G2" s="294"/>
      <c r="H2" s="294"/>
      <c r="I2" s="294"/>
      <c r="J2" s="294"/>
      <c r="K2" s="294"/>
      <c r="L2" s="294"/>
      <c r="M2" s="294"/>
      <c r="N2" s="294"/>
      <c r="O2" s="294"/>
      <c r="P2" s="294"/>
    </row>
    <row r="3" spans="1:16">
      <c r="A3" s="76"/>
    </row>
    <row r="4" spans="1:16">
      <c r="A4" s="75" t="s">
        <v>64</v>
      </c>
      <c r="B4" s="73"/>
      <c r="C4" s="74"/>
      <c r="D4" s="74"/>
      <c r="E4" s="73"/>
      <c r="F4" s="73"/>
      <c r="G4" s="73"/>
      <c r="H4" s="73"/>
      <c r="I4" s="122"/>
    </row>
    <row r="5" spans="1:16">
      <c r="A5" s="72" t="s">
        <v>63</v>
      </c>
      <c r="B5" s="71">
        <v>300</v>
      </c>
      <c r="F5" s="1" t="s">
        <v>62</v>
      </c>
      <c r="G5" s="41">
        <v>0.09</v>
      </c>
    </row>
    <row r="6" spans="1:16">
      <c r="A6" s="72" t="s">
        <v>61</v>
      </c>
      <c r="B6" s="92">
        <v>0.02</v>
      </c>
    </row>
    <row r="7" spans="1:16" ht="15" customHeight="1">
      <c r="A7" s="91" t="s">
        <v>60</v>
      </c>
      <c r="B7" s="90" t="s">
        <v>59</v>
      </c>
    </row>
    <row r="8" spans="1:16" ht="51.75" customHeight="1">
      <c r="A8" s="89"/>
      <c r="B8" s="88"/>
    </row>
    <row r="9" spans="1:16" s="85" customFormat="1" ht="27" customHeight="1">
      <c r="A9" s="87"/>
      <c r="C9" s="86"/>
      <c r="D9" s="517" t="s">
        <v>58</v>
      </c>
      <c r="E9" s="517"/>
      <c r="F9" s="517"/>
      <c r="K9" s="129"/>
      <c r="L9" s="516" t="s">
        <v>104</v>
      </c>
      <c r="M9" s="516"/>
      <c r="N9" s="516"/>
      <c r="O9" s="516"/>
      <c r="P9" s="516"/>
    </row>
    <row r="10" spans="1:16" s="81" customFormat="1" ht="51" customHeight="1">
      <c r="A10" s="84" t="s">
        <v>57</v>
      </c>
      <c r="B10" s="82" t="s">
        <v>56</v>
      </c>
      <c r="C10" s="83" t="s">
        <v>55</v>
      </c>
      <c r="D10" s="83" t="s">
        <v>54</v>
      </c>
      <c r="E10" s="82" t="s">
        <v>53</v>
      </c>
      <c r="F10" s="82" t="s">
        <v>52</v>
      </c>
      <c r="G10" s="82" t="s">
        <v>84</v>
      </c>
      <c r="H10" s="82" t="s">
        <v>136</v>
      </c>
      <c r="K10" s="128"/>
      <c r="L10" s="401" t="s">
        <v>105</v>
      </c>
      <c r="M10" s="402" t="s">
        <v>54</v>
      </c>
      <c r="N10" s="402" t="s">
        <v>53</v>
      </c>
      <c r="O10" s="402" t="s">
        <v>52</v>
      </c>
      <c r="P10" s="402" t="s">
        <v>135</v>
      </c>
    </row>
    <row r="11" spans="1:16">
      <c r="K11" s="113"/>
      <c r="L11" s="403"/>
      <c r="M11" s="403"/>
      <c r="N11" s="403"/>
      <c r="O11" s="403"/>
      <c r="P11" s="403"/>
    </row>
    <row r="12" spans="1:16">
      <c r="A12" s="162" t="s">
        <v>74</v>
      </c>
      <c r="G12" s="80"/>
      <c r="K12" s="113"/>
      <c r="L12" s="403"/>
      <c r="M12" s="403"/>
      <c r="N12" s="403"/>
      <c r="O12" s="403"/>
      <c r="P12" s="403"/>
    </row>
    <row r="13" spans="1:16">
      <c r="A13" s="162" t="s">
        <v>73</v>
      </c>
      <c r="B13" s="79">
        <v>1</v>
      </c>
      <c r="C13" s="161">
        <f>$B$5</f>
        <v>300</v>
      </c>
      <c r="D13" s="161"/>
      <c r="E13" s="161">
        <f>C13*$B$6</f>
        <v>6</v>
      </c>
      <c r="F13" s="161">
        <f t="shared" ref="F13:F36" si="0">D13+E13</f>
        <v>6</v>
      </c>
      <c r="G13" s="161">
        <v>0.5962673268792158</v>
      </c>
      <c r="H13" s="161">
        <f t="shared" ref="H13:H36" si="1">F13/G13</f>
        <v>10.062600665046004</v>
      </c>
      <c r="I13" s="161"/>
      <c r="J13" s="161"/>
      <c r="K13" s="276"/>
      <c r="L13" s="404"/>
      <c r="M13" s="404"/>
      <c r="N13" s="404"/>
      <c r="O13" s="404"/>
      <c r="P13" s="404"/>
    </row>
    <row r="14" spans="1:16">
      <c r="A14" s="162" t="s">
        <v>72</v>
      </c>
      <c r="B14" s="79">
        <v>2</v>
      </c>
      <c r="C14" s="161">
        <f>$B$5</f>
        <v>300</v>
      </c>
      <c r="D14" s="161"/>
      <c r="E14" s="161">
        <f>C14*$B$6</f>
        <v>6</v>
      </c>
      <c r="F14" s="161">
        <f t="shared" si="0"/>
        <v>6</v>
      </c>
      <c r="G14" s="161">
        <v>0.64993138629834524</v>
      </c>
      <c r="H14" s="161">
        <f t="shared" si="1"/>
        <v>9.2317437294000033</v>
      </c>
      <c r="I14" s="161"/>
      <c r="J14" s="161"/>
      <c r="K14" s="276"/>
      <c r="L14" s="404"/>
      <c r="M14" s="404"/>
      <c r="N14" s="404"/>
      <c r="O14" s="404"/>
      <c r="P14" s="404"/>
    </row>
    <row r="15" spans="1:16">
      <c r="A15" s="162" t="s">
        <v>71</v>
      </c>
      <c r="B15" s="79">
        <v>3</v>
      </c>
      <c r="C15" s="161">
        <f>$B$5</f>
        <v>300</v>
      </c>
      <c r="D15" s="161"/>
      <c r="E15" s="161">
        <f>C15*$B$6</f>
        <v>6</v>
      </c>
      <c r="F15" s="161">
        <f t="shared" si="0"/>
        <v>6</v>
      </c>
      <c r="G15" s="161">
        <v>0.7084252110651964</v>
      </c>
      <c r="H15" s="161">
        <f t="shared" si="1"/>
        <v>8.4694896600000025</v>
      </c>
      <c r="I15" s="161"/>
      <c r="J15" s="161"/>
      <c r="K15" s="276"/>
      <c r="L15" s="404"/>
      <c r="M15" s="404"/>
      <c r="N15" s="404"/>
      <c r="O15" s="404"/>
      <c r="P15" s="404"/>
    </row>
    <row r="16" spans="1:16">
      <c r="A16" s="162" t="s">
        <v>70</v>
      </c>
      <c r="B16" s="79">
        <v>4</v>
      </c>
      <c r="C16" s="161">
        <f>$B$5</f>
        <v>300</v>
      </c>
      <c r="D16" s="161"/>
      <c r="E16" s="161">
        <f>C16*$B$6</f>
        <v>6</v>
      </c>
      <c r="F16" s="161">
        <f t="shared" si="0"/>
        <v>6</v>
      </c>
      <c r="G16" s="161">
        <v>0.77218348006106419</v>
      </c>
      <c r="H16" s="161">
        <f t="shared" si="1"/>
        <v>7.7701740000000008</v>
      </c>
      <c r="I16" s="161"/>
      <c r="J16" s="161"/>
      <c r="K16" s="276"/>
      <c r="L16" s="404"/>
      <c r="M16" s="404"/>
      <c r="N16" s="404"/>
      <c r="O16" s="404"/>
      <c r="P16" s="404"/>
    </row>
    <row r="17" spans="1:16">
      <c r="A17" s="162" t="s">
        <v>69</v>
      </c>
      <c r="B17" s="79">
        <v>5</v>
      </c>
      <c r="C17" s="161">
        <f t="shared" ref="C17:C36" si="2">C16-D16</f>
        <v>300</v>
      </c>
      <c r="D17" s="56"/>
      <c r="E17" s="182">
        <v>0</v>
      </c>
      <c r="F17" s="161">
        <f t="shared" si="0"/>
        <v>0</v>
      </c>
      <c r="G17" s="161">
        <v>0.84167999326655996</v>
      </c>
      <c r="H17" s="161">
        <f t="shared" si="1"/>
        <v>0</v>
      </c>
      <c r="I17" s="161"/>
      <c r="J17" s="161"/>
      <c r="K17" s="276"/>
      <c r="L17" s="404"/>
      <c r="M17" s="404"/>
      <c r="N17" s="404"/>
      <c r="O17" s="404"/>
      <c r="P17" s="404"/>
    </row>
    <row r="18" spans="1:16" ht="12.75" customHeight="1">
      <c r="A18" s="156" t="s">
        <v>68</v>
      </c>
      <c r="B18" s="155">
        <v>6</v>
      </c>
      <c r="C18" s="163">
        <f t="shared" si="2"/>
        <v>300</v>
      </c>
      <c r="D18" s="163">
        <f>C18/13</f>
        <v>23.076923076923077</v>
      </c>
      <c r="E18" s="182">
        <v>0</v>
      </c>
      <c r="F18" s="163">
        <f t="shared" si="0"/>
        <v>23.076923076923077</v>
      </c>
      <c r="G18" s="163">
        <v>0.9174311926605504</v>
      </c>
      <c r="H18" s="163">
        <f t="shared" si="1"/>
        <v>25.153846153846157</v>
      </c>
      <c r="I18" s="515" t="s">
        <v>79</v>
      </c>
      <c r="J18" s="518" t="s">
        <v>82</v>
      </c>
      <c r="K18" s="277"/>
      <c r="L18" s="405"/>
      <c r="M18" s="405"/>
      <c r="N18" s="405"/>
      <c r="O18" s="405"/>
      <c r="P18" s="404"/>
    </row>
    <row r="19" spans="1:16">
      <c r="A19" s="153" t="s">
        <v>49</v>
      </c>
      <c r="B19" s="152">
        <v>7</v>
      </c>
      <c r="C19" s="160">
        <f t="shared" si="2"/>
        <v>276.92307692307691</v>
      </c>
      <c r="D19" s="160"/>
      <c r="E19" s="160">
        <f t="shared" ref="E19:E36" si="3">(C19*$B$6)</f>
        <v>5.5384615384615383</v>
      </c>
      <c r="F19" s="160">
        <f t="shared" si="0"/>
        <v>5.5384615384615383</v>
      </c>
      <c r="G19" s="160">
        <v>1</v>
      </c>
      <c r="H19" s="160">
        <f t="shared" si="1"/>
        <v>5.5384615384615383</v>
      </c>
      <c r="I19" s="515"/>
      <c r="J19" s="518"/>
      <c r="K19" s="277"/>
      <c r="L19" s="404">
        <f>E16*2</f>
        <v>12</v>
      </c>
      <c r="M19" s="404"/>
      <c r="N19" s="404"/>
      <c r="O19" s="404"/>
      <c r="P19" s="404"/>
    </row>
    <row r="20" spans="1:16">
      <c r="A20" s="153" t="s">
        <v>48</v>
      </c>
      <c r="B20" s="152">
        <v>8</v>
      </c>
      <c r="C20" s="160">
        <f t="shared" si="2"/>
        <v>276.92307692307691</v>
      </c>
      <c r="D20" s="160"/>
      <c r="E20" s="160">
        <f t="shared" si="3"/>
        <v>5.5384615384615383</v>
      </c>
      <c r="F20" s="160">
        <f t="shared" si="0"/>
        <v>5.5384615384615383</v>
      </c>
      <c r="G20" s="160">
        <v>1.0900000000000001</v>
      </c>
      <c r="H20" s="160">
        <f t="shared" si="1"/>
        <v>5.0811573747353558</v>
      </c>
      <c r="I20" s="161"/>
      <c r="J20" s="518"/>
      <c r="K20" s="277"/>
      <c r="L20" s="404">
        <f>E16*2</f>
        <v>12</v>
      </c>
      <c r="M20" s="404"/>
      <c r="N20" s="404">
        <f t="shared" ref="N20:N36" si="4">L20*$B$6</f>
        <v>0.24</v>
      </c>
      <c r="O20" s="404">
        <f t="shared" ref="O20:O36" si="5">M20+N20</f>
        <v>0.24</v>
      </c>
      <c r="P20" s="404">
        <f>O20/G20</f>
        <v>0.22018348623853209</v>
      </c>
    </row>
    <row r="21" spans="1:16">
      <c r="A21" s="153" t="s">
        <v>47</v>
      </c>
      <c r="B21" s="152">
        <v>9</v>
      </c>
      <c r="C21" s="160">
        <f t="shared" si="2"/>
        <v>276.92307692307691</v>
      </c>
      <c r="D21" s="160"/>
      <c r="E21" s="160">
        <f t="shared" si="3"/>
        <v>5.5384615384615383</v>
      </c>
      <c r="F21" s="160">
        <f t="shared" si="0"/>
        <v>5.5384615384615383</v>
      </c>
      <c r="G21" s="160">
        <v>1.1881000000000002</v>
      </c>
      <c r="H21" s="160">
        <f t="shared" si="1"/>
        <v>4.6616122703994085</v>
      </c>
      <c r="I21" s="161"/>
      <c r="J21" s="518"/>
      <c r="K21" s="277"/>
      <c r="L21" s="404">
        <f t="shared" ref="L21:L36" si="6">L20-M20</f>
        <v>12</v>
      </c>
      <c r="M21" s="404"/>
      <c r="N21" s="404">
        <f t="shared" si="4"/>
        <v>0.24</v>
      </c>
      <c r="O21" s="404">
        <f t="shared" si="5"/>
        <v>0.24</v>
      </c>
      <c r="P21" s="404">
        <f t="shared" ref="P21:P36" si="7">O21/G21</f>
        <v>0.20200319838397437</v>
      </c>
    </row>
    <row r="22" spans="1:16">
      <c r="A22" s="153" t="s">
        <v>46</v>
      </c>
      <c r="B22" s="152">
        <v>10</v>
      </c>
      <c r="C22" s="160">
        <f t="shared" si="2"/>
        <v>276.92307692307691</v>
      </c>
      <c r="D22" s="160"/>
      <c r="E22" s="160">
        <f t="shared" si="3"/>
        <v>5.5384615384615383</v>
      </c>
      <c r="F22" s="160">
        <f t="shared" si="0"/>
        <v>5.5384615384615383</v>
      </c>
      <c r="G22" s="160">
        <v>1.2950290000000002</v>
      </c>
      <c r="H22" s="160">
        <f t="shared" si="1"/>
        <v>4.2767085049535858</v>
      </c>
      <c r="I22" s="161"/>
      <c r="J22" s="518"/>
      <c r="K22" s="277"/>
      <c r="L22" s="404">
        <f t="shared" si="6"/>
        <v>12</v>
      </c>
      <c r="M22" s="404"/>
      <c r="N22" s="404">
        <f t="shared" si="4"/>
        <v>0.24</v>
      </c>
      <c r="O22" s="404">
        <f t="shared" si="5"/>
        <v>0.24</v>
      </c>
      <c r="P22" s="404">
        <f t="shared" si="7"/>
        <v>0.18532403521465537</v>
      </c>
    </row>
    <row r="23" spans="1:16">
      <c r="A23" s="153" t="s">
        <v>45</v>
      </c>
      <c r="B23" s="152">
        <v>11</v>
      </c>
      <c r="C23" s="160">
        <f t="shared" si="2"/>
        <v>276.92307692307691</v>
      </c>
      <c r="D23" s="160"/>
      <c r="E23" s="160">
        <f t="shared" si="3"/>
        <v>5.5384615384615383</v>
      </c>
      <c r="F23" s="160">
        <f t="shared" si="0"/>
        <v>5.5384615384615383</v>
      </c>
      <c r="G23" s="160">
        <v>1.4115816100000003</v>
      </c>
      <c r="H23" s="160">
        <f t="shared" si="1"/>
        <v>3.9235857843610877</v>
      </c>
      <c r="I23" s="161"/>
      <c r="J23" s="518"/>
      <c r="K23" s="277"/>
      <c r="L23" s="404">
        <f t="shared" si="6"/>
        <v>12</v>
      </c>
      <c r="M23" s="404"/>
      <c r="N23" s="404">
        <f t="shared" si="4"/>
        <v>0.24</v>
      </c>
      <c r="O23" s="404">
        <f t="shared" si="5"/>
        <v>0.24</v>
      </c>
      <c r="P23" s="404">
        <f t="shared" si="7"/>
        <v>0.17002205065564713</v>
      </c>
    </row>
    <row r="24" spans="1:16">
      <c r="A24" s="162" t="s">
        <v>44</v>
      </c>
      <c r="B24" s="79">
        <v>12</v>
      </c>
      <c r="C24" s="161">
        <f t="shared" si="2"/>
        <v>276.92307692307691</v>
      </c>
      <c r="D24" s="56">
        <f t="shared" ref="D24:D36" si="8">($C$13-$D$18)/13</f>
        <v>21.301775147928993</v>
      </c>
      <c r="E24" s="161">
        <f t="shared" si="3"/>
        <v>5.5384615384615383</v>
      </c>
      <c r="F24" s="161">
        <f t="shared" si="0"/>
        <v>26.840236686390533</v>
      </c>
      <c r="G24" s="161">
        <v>1.5386239549000005</v>
      </c>
      <c r="H24" s="161">
        <f t="shared" si="1"/>
        <v>17.444312238161505</v>
      </c>
      <c r="I24" s="161"/>
      <c r="J24" s="161"/>
      <c r="K24" s="276"/>
      <c r="L24" s="404">
        <f t="shared" si="6"/>
        <v>12</v>
      </c>
      <c r="M24" s="404"/>
      <c r="N24" s="404">
        <f t="shared" si="4"/>
        <v>0.24</v>
      </c>
      <c r="O24" s="404">
        <f t="shared" si="5"/>
        <v>0.24</v>
      </c>
      <c r="P24" s="404">
        <f t="shared" si="7"/>
        <v>0.15598353271160287</v>
      </c>
    </row>
    <row r="25" spans="1:16">
      <c r="A25" s="162" t="s">
        <v>43</v>
      </c>
      <c r="B25" s="79">
        <v>13</v>
      </c>
      <c r="C25" s="161">
        <f t="shared" si="2"/>
        <v>255.62130177514791</v>
      </c>
      <c r="D25" s="56">
        <f t="shared" si="8"/>
        <v>21.301775147928993</v>
      </c>
      <c r="E25" s="161">
        <f t="shared" si="3"/>
        <v>5.112426035502958</v>
      </c>
      <c r="F25" s="161">
        <f t="shared" si="0"/>
        <v>26.414201183431949</v>
      </c>
      <c r="G25" s="161">
        <v>1.6771001108410006</v>
      </c>
      <c r="H25" s="161">
        <f t="shared" si="1"/>
        <v>15.749925131294788</v>
      </c>
      <c r="I25" s="161"/>
      <c r="J25" s="161"/>
      <c r="K25" s="276"/>
      <c r="L25" s="404">
        <f t="shared" si="6"/>
        <v>12</v>
      </c>
      <c r="M25" s="404">
        <f t="shared" ref="M25:M36" si="9">$L$24/12</f>
        <v>1</v>
      </c>
      <c r="N25" s="404">
        <f t="shared" si="4"/>
        <v>0.24</v>
      </c>
      <c r="O25" s="404">
        <f t="shared" si="5"/>
        <v>1.24</v>
      </c>
      <c r="P25" s="404">
        <f t="shared" si="7"/>
        <v>0.73937148533022756</v>
      </c>
    </row>
    <row r="26" spans="1:16">
      <c r="A26" s="162" t="s">
        <v>42</v>
      </c>
      <c r="B26" s="79">
        <v>14</v>
      </c>
      <c r="C26" s="161">
        <f t="shared" si="2"/>
        <v>234.31952662721892</v>
      </c>
      <c r="D26" s="56">
        <f t="shared" si="8"/>
        <v>21.301775147928993</v>
      </c>
      <c r="E26" s="161">
        <f t="shared" si="3"/>
        <v>4.6863905325443787</v>
      </c>
      <c r="F26" s="161">
        <f t="shared" si="0"/>
        <v>25.988165680473372</v>
      </c>
      <c r="G26" s="161">
        <v>1.8280391208166906</v>
      </c>
      <c r="H26" s="161">
        <f t="shared" si="1"/>
        <v>14.216416587880767</v>
      </c>
      <c r="I26" s="161"/>
      <c r="J26" s="161"/>
      <c r="K26" s="276"/>
      <c r="L26" s="404">
        <f t="shared" si="6"/>
        <v>11</v>
      </c>
      <c r="M26" s="404">
        <f t="shared" si="9"/>
        <v>1</v>
      </c>
      <c r="N26" s="404">
        <f t="shared" si="4"/>
        <v>0.22</v>
      </c>
      <c r="O26" s="404">
        <f t="shared" si="5"/>
        <v>1.22</v>
      </c>
      <c r="P26" s="404">
        <f t="shared" si="7"/>
        <v>0.66738177870884707</v>
      </c>
    </row>
    <row r="27" spans="1:16">
      <c r="A27" s="162" t="s">
        <v>41</v>
      </c>
      <c r="B27" s="79">
        <v>15</v>
      </c>
      <c r="C27" s="161">
        <f t="shared" si="2"/>
        <v>213.01775147928993</v>
      </c>
      <c r="D27" s="56">
        <f t="shared" si="8"/>
        <v>21.301775147928993</v>
      </c>
      <c r="E27" s="161">
        <f t="shared" si="3"/>
        <v>4.2603550295857984</v>
      </c>
      <c r="F27" s="161">
        <f t="shared" si="0"/>
        <v>25.562130177514792</v>
      </c>
      <c r="G27" s="161">
        <v>1.9925626416901929</v>
      </c>
      <c r="H27" s="161">
        <f t="shared" si="1"/>
        <v>12.828771172700344</v>
      </c>
      <c r="I27" s="161"/>
      <c r="J27" s="161"/>
      <c r="K27" s="276"/>
      <c r="L27" s="404">
        <f t="shared" si="6"/>
        <v>10</v>
      </c>
      <c r="M27" s="404">
        <f t="shared" si="9"/>
        <v>1</v>
      </c>
      <c r="N27" s="404">
        <f t="shared" si="4"/>
        <v>0.2</v>
      </c>
      <c r="O27" s="404">
        <f t="shared" si="5"/>
        <v>1.2</v>
      </c>
      <c r="P27" s="404">
        <f t="shared" si="7"/>
        <v>0.60223953560732169</v>
      </c>
    </row>
    <row r="28" spans="1:16">
      <c r="A28" s="162" t="s">
        <v>40</v>
      </c>
      <c r="B28" s="79">
        <v>16</v>
      </c>
      <c r="C28" s="161">
        <f t="shared" si="2"/>
        <v>191.71597633136093</v>
      </c>
      <c r="D28" s="56">
        <f t="shared" si="8"/>
        <v>21.301775147928993</v>
      </c>
      <c r="E28" s="161">
        <f t="shared" si="3"/>
        <v>3.834319526627219</v>
      </c>
      <c r="F28" s="161">
        <f t="shared" si="0"/>
        <v>25.136094674556212</v>
      </c>
      <c r="G28" s="161">
        <v>2.1718932794423105</v>
      </c>
      <c r="H28" s="161">
        <f t="shared" si="1"/>
        <v>11.573356256717435</v>
      </c>
      <c r="I28" s="161"/>
      <c r="J28" s="161"/>
      <c r="K28" s="276"/>
      <c r="L28" s="404">
        <f t="shared" si="6"/>
        <v>9</v>
      </c>
      <c r="M28" s="404">
        <f t="shared" si="9"/>
        <v>1</v>
      </c>
      <c r="N28" s="404">
        <f t="shared" si="4"/>
        <v>0.18</v>
      </c>
      <c r="O28" s="404">
        <f t="shared" si="5"/>
        <v>1.18</v>
      </c>
      <c r="P28" s="404">
        <f t="shared" si="7"/>
        <v>0.54330477982923508</v>
      </c>
    </row>
    <row r="29" spans="1:16">
      <c r="A29" s="162" t="s">
        <v>39</v>
      </c>
      <c r="B29" s="79">
        <v>17</v>
      </c>
      <c r="C29" s="161">
        <f t="shared" si="2"/>
        <v>170.41420118343194</v>
      </c>
      <c r="D29" s="56">
        <f t="shared" si="8"/>
        <v>21.301775147928993</v>
      </c>
      <c r="E29" s="161">
        <f t="shared" si="3"/>
        <v>3.4082840236686387</v>
      </c>
      <c r="F29" s="161">
        <f t="shared" si="0"/>
        <v>24.710059171597631</v>
      </c>
      <c r="G29" s="161">
        <v>2.3673636745921187</v>
      </c>
      <c r="H29" s="161">
        <f t="shared" si="1"/>
        <v>10.437796033114774</v>
      </c>
      <c r="I29" s="161"/>
      <c r="J29" s="161"/>
      <c r="K29" s="276"/>
      <c r="L29" s="404">
        <f t="shared" si="6"/>
        <v>8</v>
      </c>
      <c r="M29" s="404">
        <f t="shared" si="9"/>
        <v>1</v>
      </c>
      <c r="N29" s="404">
        <f t="shared" si="4"/>
        <v>0.16</v>
      </c>
      <c r="O29" s="404">
        <f t="shared" si="5"/>
        <v>1.1599999999999999</v>
      </c>
      <c r="P29" s="404">
        <f t="shared" si="7"/>
        <v>0.48999653599899912</v>
      </c>
    </row>
    <row r="30" spans="1:16">
      <c r="A30" s="162" t="s">
        <v>38</v>
      </c>
      <c r="B30" s="79">
        <v>18</v>
      </c>
      <c r="C30" s="161">
        <f t="shared" si="2"/>
        <v>149.11242603550295</v>
      </c>
      <c r="D30" s="56">
        <f t="shared" si="8"/>
        <v>21.301775147928993</v>
      </c>
      <c r="E30" s="161">
        <f t="shared" si="3"/>
        <v>2.9822485207100589</v>
      </c>
      <c r="F30" s="161">
        <f t="shared" si="0"/>
        <v>24.284023668639051</v>
      </c>
      <c r="G30" s="161">
        <v>2.5804264053054093</v>
      </c>
      <c r="H30" s="161">
        <f t="shared" si="1"/>
        <v>9.4108569105906703</v>
      </c>
      <c r="I30" s="161"/>
      <c r="J30" s="161"/>
      <c r="K30" s="276"/>
      <c r="L30" s="404">
        <f t="shared" si="6"/>
        <v>7</v>
      </c>
      <c r="M30" s="404">
        <f t="shared" si="9"/>
        <v>1</v>
      </c>
      <c r="N30" s="404">
        <f t="shared" si="4"/>
        <v>0.14000000000000001</v>
      </c>
      <c r="O30" s="404">
        <f t="shared" si="5"/>
        <v>1.1400000000000001</v>
      </c>
      <c r="P30" s="404">
        <f t="shared" si="7"/>
        <v>0.44178744941383985</v>
      </c>
    </row>
    <row r="31" spans="1:16">
      <c r="A31" s="153" t="s">
        <v>37</v>
      </c>
      <c r="B31" s="152">
        <v>19</v>
      </c>
      <c r="C31" s="160">
        <f t="shared" si="2"/>
        <v>127.81065088757396</v>
      </c>
      <c r="D31" s="160">
        <f t="shared" si="8"/>
        <v>21.301775147928993</v>
      </c>
      <c r="E31" s="160">
        <f t="shared" si="3"/>
        <v>2.556213017751479</v>
      </c>
      <c r="F31" s="160">
        <f t="shared" si="0"/>
        <v>23.857988165680471</v>
      </c>
      <c r="G31" s="160">
        <v>2.812664781782896</v>
      </c>
      <c r="H31" s="160">
        <f t="shared" si="1"/>
        <v>8.4823432640121919</v>
      </c>
      <c r="I31" s="161"/>
      <c r="J31" s="518" t="s">
        <v>81</v>
      </c>
      <c r="K31" s="277"/>
      <c r="L31" s="404">
        <f t="shared" si="6"/>
        <v>6</v>
      </c>
      <c r="M31" s="404">
        <f t="shared" si="9"/>
        <v>1</v>
      </c>
      <c r="N31" s="404">
        <f t="shared" si="4"/>
        <v>0.12</v>
      </c>
      <c r="O31" s="404">
        <f t="shared" si="5"/>
        <v>1.1200000000000001</v>
      </c>
      <c r="P31" s="404">
        <f t="shared" si="7"/>
        <v>0.39819889211612802</v>
      </c>
    </row>
    <row r="32" spans="1:16">
      <c r="A32" s="153" t="s">
        <v>36</v>
      </c>
      <c r="B32" s="152">
        <v>20</v>
      </c>
      <c r="C32" s="160">
        <f t="shared" si="2"/>
        <v>106.50887573964496</v>
      </c>
      <c r="D32" s="160">
        <f t="shared" si="8"/>
        <v>21.301775147928993</v>
      </c>
      <c r="E32" s="160">
        <f t="shared" si="3"/>
        <v>2.1301775147928992</v>
      </c>
      <c r="F32" s="160">
        <f t="shared" si="0"/>
        <v>23.431952662721891</v>
      </c>
      <c r="G32" s="160">
        <v>3.0658046121433573</v>
      </c>
      <c r="H32" s="160">
        <f t="shared" si="1"/>
        <v>7.6430026133792675</v>
      </c>
      <c r="I32" s="161"/>
      <c r="J32" s="518"/>
      <c r="K32" s="277"/>
      <c r="L32" s="404">
        <f t="shared" si="6"/>
        <v>5</v>
      </c>
      <c r="M32" s="404">
        <f t="shared" si="9"/>
        <v>1</v>
      </c>
      <c r="N32" s="404">
        <f t="shared" si="4"/>
        <v>0.1</v>
      </c>
      <c r="O32" s="404">
        <f t="shared" si="5"/>
        <v>1.1000000000000001</v>
      </c>
      <c r="P32" s="404">
        <f t="shared" si="7"/>
        <v>0.35879651157252679</v>
      </c>
    </row>
    <row r="33" spans="1:16">
      <c r="A33" s="153" t="s">
        <v>35</v>
      </c>
      <c r="B33" s="152">
        <v>21</v>
      </c>
      <c r="C33" s="160">
        <f t="shared" si="2"/>
        <v>85.207100591715971</v>
      </c>
      <c r="D33" s="160">
        <f t="shared" si="8"/>
        <v>21.301775147928993</v>
      </c>
      <c r="E33" s="160">
        <f t="shared" si="3"/>
        <v>1.7041420118343193</v>
      </c>
      <c r="F33" s="160">
        <f t="shared" si="0"/>
        <v>23.005917159763314</v>
      </c>
      <c r="G33" s="160">
        <v>3.3417270272362596</v>
      </c>
      <c r="H33" s="160">
        <f t="shared" si="1"/>
        <v>6.88443938486206</v>
      </c>
      <c r="I33" s="161"/>
      <c r="J33" s="518"/>
      <c r="K33" s="277"/>
      <c r="L33" s="404">
        <f t="shared" si="6"/>
        <v>4</v>
      </c>
      <c r="M33" s="404">
        <f t="shared" si="9"/>
        <v>1</v>
      </c>
      <c r="N33" s="404">
        <f t="shared" si="4"/>
        <v>0.08</v>
      </c>
      <c r="O33" s="404">
        <f t="shared" si="5"/>
        <v>1.08</v>
      </c>
      <c r="P33" s="404">
        <f t="shared" si="7"/>
        <v>0.32318618223380224</v>
      </c>
    </row>
    <row r="34" spans="1:16">
      <c r="A34" s="153" t="s">
        <v>34</v>
      </c>
      <c r="B34" s="152">
        <v>22</v>
      </c>
      <c r="C34" s="160">
        <f t="shared" si="2"/>
        <v>63.905325443786978</v>
      </c>
      <c r="D34" s="160">
        <f t="shared" si="8"/>
        <v>21.301775147928993</v>
      </c>
      <c r="E34" s="160">
        <f t="shared" si="3"/>
        <v>1.2781065088757395</v>
      </c>
      <c r="F34" s="160">
        <f t="shared" si="0"/>
        <v>22.579881656804734</v>
      </c>
      <c r="G34" s="160">
        <v>3.6424824596875229</v>
      </c>
      <c r="H34" s="160">
        <f t="shared" si="1"/>
        <v>6.1990364831411684</v>
      </c>
      <c r="I34" s="161"/>
      <c r="J34" s="518"/>
      <c r="K34" s="277"/>
      <c r="L34" s="404">
        <f t="shared" si="6"/>
        <v>3</v>
      </c>
      <c r="M34" s="404">
        <f t="shared" si="9"/>
        <v>1</v>
      </c>
      <c r="N34" s="404">
        <f t="shared" si="4"/>
        <v>0.06</v>
      </c>
      <c r="O34" s="404">
        <f t="shared" si="5"/>
        <v>1.06</v>
      </c>
      <c r="P34" s="404">
        <f t="shared" si="7"/>
        <v>0.29101032379190483</v>
      </c>
    </row>
    <row r="35" spans="1:16">
      <c r="A35" s="153" t="s">
        <v>33</v>
      </c>
      <c r="B35" s="152">
        <v>23</v>
      </c>
      <c r="C35" s="160">
        <f t="shared" si="2"/>
        <v>42.603550295857985</v>
      </c>
      <c r="D35" s="160">
        <f t="shared" si="8"/>
        <v>21.301775147928993</v>
      </c>
      <c r="E35" s="160">
        <f t="shared" si="3"/>
        <v>0.85207100591715967</v>
      </c>
      <c r="F35" s="160">
        <f t="shared" si="0"/>
        <v>22.153846153846153</v>
      </c>
      <c r="G35" s="160">
        <v>3.9703058810594003</v>
      </c>
      <c r="H35" s="160">
        <f t="shared" si="1"/>
        <v>5.5798839730541925</v>
      </c>
      <c r="I35" s="161"/>
      <c r="J35" s="518"/>
      <c r="K35" s="277"/>
      <c r="L35" s="404">
        <f t="shared" si="6"/>
        <v>2</v>
      </c>
      <c r="M35" s="404">
        <f t="shared" si="9"/>
        <v>1</v>
      </c>
      <c r="N35" s="404">
        <f t="shared" si="4"/>
        <v>0.04</v>
      </c>
      <c r="O35" s="404">
        <f t="shared" si="5"/>
        <v>1.04</v>
      </c>
      <c r="P35" s="404">
        <f t="shared" si="7"/>
        <v>0.2619445531794885</v>
      </c>
    </row>
    <row r="36" spans="1:16">
      <c r="A36" s="153" t="s">
        <v>32</v>
      </c>
      <c r="B36" s="152">
        <v>24</v>
      </c>
      <c r="C36" s="160">
        <f t="shared" si="2"/>
        <v>21.301775147928993</v>
      </c>
      <c r="D36" s="160">
        <f t="shared" si="8"/>
        <v>21.301775147928993</v>
      </c>
      <c r="E36" s="160">
        <f t="shared" si="3"/>
        <v>0.42603550295857984</v>
      </c>
      <c r="F36" s="160">
        <f t="shared" si="0"/>
        <v>21.727810650887573</v>
      </c>
      <c r="G36" s="160">
        <v>4.3276334103547462</v>
      </c>
      <c r="H36" s="160">
        <f t="shared" si="1"/>
        <v>5.0207142312237796</v>
      </c>
      <c r="I36" s="161"/>
      <c r="J36" s="518"/>
      <c r="K36" s="277"/>
      <c r="L36" s="404">
        <f t="shared" si="6"/>
        <v>1</v>
      </c>
      <c r="M36" s="404">
        <f t="shared" si="9"/>
        <v>1</v>
      </c>
      <c r="N36" s="404">
        <f t="shared" si="4"/>
        <v>0.02</v>
      </c>
      <c r="O36" s="404">
        <f t="shared" si="5"/>
        <v>1.02</v>
      </c>
      <c r="P36" s="404">
        <f t="shared" si="7"/>
        <v>0.23569464029911633</v>
      </c>
    </row>
    <row r="37" spans="1:16">
      <c r="A37" s="162"/>
      <c r="B37" s="79"/>
      <c r="C37" s="161"/>
      <c r="D37" s="56"/>
      <c r="E37" s="161"/>
      <c r="F37" s="161"/>
      <c r="G37" s="161"/>
      <c r="H37" s="161"/>
      <c r="I37" s="161"/>
      <c r="J37" s="161"/>
      <c r="K37" s="56"/>
      <c r="L37" s="407"/>
      <c r="M37" s="407"/>
      <c r="N37" s="407"/>
      <c r="O37" s="407"/>
      <c r="P37" s="407"/>
    </row>
    <row r="38" spans="1:16" s="66" customFormat="1">
      <c r="A38" s="137"/>
      <c r="C38" s="172"/>
      <c r="D38" s="172"/>
      <c r="E38" s="172"/>
      <c r="F38" s="172"/>
      <c r="G38" s="275" t="s">
        <v>67</v>
      </c>
      <c r="H38" s="272">
        <f>SUM(H13:H36)</f>
        <v>215.64023396133609</v>
      </c>
      <c r="I38" s="172"/>
      <c r="J38" s="172"/>
      <c r="K38" s="172"/>
      <c r="L38" s="408"/>
      <c r="M38" s="408"/>
      <c r="N38" s="408"/>
      <c r="O38" s="406" t="s">
        <v>67</v>
      </c>
      <c r="P38" s="406">
        <f>SUM(P13:P36)</f>
        <v>6.286428971285849</v>
      </c>
    </row>
    <row r="39" spans="1:16" s="66" customFormat="1">
      <c r="A39" s="137"/>
      <c r="C39" s="136"/>
      <c r="D39" s="136"/>
      <c r="E39" s="138"/>
      <c r="F39" s="361"/>
      <c r="G39" s="362" t="s">
        <v>78</v>
      </c>
      <c r="H39" s="383">
        <f>300*(1.09)^7-H38</f>
        <v>332.77150228367111</v>
      </c>
      <c r="I39" s="136"/>
    </row>
    <row r="40" spans="1:16" s="66" customFormat="1">
      <c r="A40" s="137"/>
      <c r="C40" s="136"/>
      <c r="D40" s="136"/>
      <c r="E40" s="138"/>
      <c r="F40" s="138"/>
      <c r="G40" s="98"/>
      <c r="H40" s="165"/>
    </row>
    <row r="41" spans="1:16" s="45" customFormat="1">
      <c r="A41" s="291" t="s">
        <v>141</v>
      </c>
      <c r="B41" s="291" t="s">
        <v>142</v>
      </c>
      <c r="C41" s="293"/>
      <c r="D41" s="293"/>
      <c r="E41" s="298"/>
      <c r="F41" s="298"/>
      <c r="G41" s="299"/>
      <c r="H41" s="300"/>
      <c r="I41" s="294"/>
      <c r="J41" s="294"/>
      <c r="K41" s="294"/>
      <c r="L41" s="294"/>
      <c r="M41" s="294"/>
      <c r="N41" s="294"/>
      <c r="O41" s="294"/>
      <c r="P41" s="294"/>
    </row>
    <row r="42" spans="1:16" s="66" customFormat="1">
      <c r="A42" s="137"/>
      <c r="C42" s="136"/>
      <c r="D42" s="136"/>
      <c r="E42" s="138"/>
      <c r="F42" s="138"/>
      <c r="G42" s="98"/>
      <c r="H42" s="165"/>
    </row>
    <row r="43" spans="1:16" s="66" customFormat="1">
      <c r="A43" s="137"/>
      <c r="C43" s="136"/>
      <c r="D43" s="136"/>
      <c r="E43" s="138"/>
      <c r="F43" s="138"/>
      <c r="G43" s="64" t="s">
        <v>180</v>
      </c>
      <c r="H43" s="165">
        <f>'Example 1_ step 0'!H34 * (1+0.09)^7</f>
        <v>266.8851952145248</v>
      </c>
    </row>
    <row r="44" spans="1:16" s="66" customFormat="1" ht="10.7" customHeight="1">
      <c r="A44" s="51"/>
      <c r="B44" s="121"/>
      <c r="C44" s="164"/>
      <c r="D44" s="136"/>
      <c r="E44" s="138"/>
      <c r="F44" s="55"/>
      <c r="G44" s="64" t="s">
        <v>182</v>
      </c>
      <c r="H44" s="115">
        <f>L19-P38</f>
        <v>5.713571028714151</v>
      </c>
    </row>
    <row r="45" spans="1:16" s="66" customFormat="1" ht="22.7" customHeight="1">
      <c r="C45" s="49"/>
      <c r="D45" s="49"/>
      <c r="E45" s="55"/>
      <c r="F45" s="395"/>
      <c r="G45" s="362" t="s">
        <v>181</v>
      </c>
      <c r="H45" s="383">
        <f>H39-H43+H44</f>
        <v>71.599878097860469</v>
      </c>
    </row>
    <row r="46" spans="1:16" s="66" customFormat="1">
      <c r="F46" s="120"/>
    </row>
    <row r="47" spans="1:16" s="45" customFormat="1" ht="15.75" customHeight="1">
      <c r="A47" s="291" t="s">
        <v>152</v>
      </c>
      <c r="B47" s="291" t="s">
        <v>143</v>
      </c>
      <c r="C47" s="293"/>
      <c r="D47" s="293"/>
      <c r="E47" s="298"/>
      <c r="F47" s="298"/>
      <c r="G47" s="299"/>
      <c r="H47" s="300"/>
      <c r="I47" s="294"/>
      <c r="J47" s="294"/>
      <c r="K47" s="294"/>
      <c r="L47" s="294"/>
      <c r="M47" s="294"/>
      <c r="N47" s="294"/>
      <c r="O47" s="294"/>
      <c r="P47" s="294"/>
    </row>
    <row r="48" spans="1:16" s="45" customFormat="1">
      <c r="A48" s="47"/>
      <c r="C48" s="46"/>
      <c r="D48" s="46"/>
      <c r="I48" s="2"/>
    </row>
    <row r="49" spans="1:9" s="45" customFormat="1">
      <c r="A49" s="311" t="s">
        <v>0</v>
      </c>
      <c r="B49" s="56">
        <f>B5</f>
        <v>300</v>
      </c>
      <c r="C49" s="46"/>
      <c r="D49" s="46"/>
      <c r="I49" s="2"/>
    </row>
    <row r="50" spans="1:9" s="45" customFormat="1">
      <c r="A50" s="311" t="s">
        <v>145</v>
      </c>
      <c r="B50" s="56">
        <f>'Example 1_ step 0'!H34</f>
        <v>145.9953412240389</v>
      </c>
      <c r="C50" s="46"/>
      <c r="D50" s="46"/>
      <c r="I50" s="2"/>
    </row>
    <row r="51" spans="1:9" s="45" customFormat="1" ht="28.7" customHeight="1">
      <c r="A51" s="307" t="s">
        <v>146</v>
      </c>
      <c r="B51" s="56">
        <f>H45</f>
        <v>71.599878097860469</v>
      </c>
      <c r="C51" s="46"/>
      <c r="D51" s="46"/>
      <c r="I51" s="2"/>
    </row>
    <row r="52" spans="1:9" s="45" customFormat="1">
      <c r="A52" s="289" t="s">
        <v>147</v>
      </c>
      <c r="B52" s="56">
        <f>B50+B51</f>
        <v>217.59521932189938</v>
      </c>
      <c r="C52" s="46"/>
      <c r="D52" s="46"/>
      <c r="I52" s="2"/>
    </row>
    <row r="53" spans="1:9" s="45" customFormat="1" ht="38.25">
      <c r="A53" s="366" t="s">
        <v>144</v>
      </c>
      <c r="B53" s="388">
        <f>IF((B50+B51)&lt;=B49,B51,B49-B50)</f>
        <v>71.599878097860469</v>
      </c>
      <c r="C53" s="46"/>
      <c r="D53" s="46"/>
      <c r="I53" s="2"/>
    </row>
  </sheetData>
  <mergeCells count="5">
    <mergeCell ref="L9:P9"/>
    <mergeCell ref="D9:F9"/>
    <mergeCell ref="I18:I19"/>
    <mergeCell ref="J18:J23"/>
    <mergeCell ref="J31:J36"/>
  </mergeCells>
  <pageMargins left="0.18" right="0.17" top="0.4" bottom="0.39" header="0.25" footer="0.28999999999999998"/>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P62"/>
  <sheetViews>
    <sheetView zoomScaleNormal="100" workbookViewId="0"/>
  </sheetViews>
  <sheetFormatPr defaultColWidth="9.140625" defaultRowHeight="12.75"/>
  <cols>
    <col min="1" max="1" width="22.42578125" style="44" customWidth="1"/>
    <col min="2" max="2" width="10.5703125" style="1" customWidth="1"/>
    <col min="3" max="3" width="11.140625" style="43" customWidth="1"/>
    <col min="4" max="4" width="9" style="43" customWidth="1"/>
    <col min="5" max="5" width="7.85546875" style="1" customWidth="1"/>
    <col min="6" max="6" width="11.85546875" style="1" customWidth="1"/>
    <col min="7" max="7" width="13.140625" style="1" customWidth="1"/>
    <col min="8" max="8" width="12.85546875" style="1" customWidth="1"/>
    <col min="9" max="9" width="10.85546875" style="1" customWidth="1"/>
    <col min="10" max="10" width="9.140625" style="1" customWidth="1"/>
    <col min="11" max="11" width="2.5703125" style="113" customWidth="1"/>
    <col min="12" max="12" width="11.42578125" style="1" customWidth="1"/>
    <col min="13" max="13" width="9.85546875" style="1" customWidth="1"/>
    <col min="14" max="14" width="9.140625" style="1" customWidth="1"/>
    <col min="15" max="15" width="9" style="1" customWidth="1"/>
    <col min="16" max="16" width="15" style="1" customWidth="1"/>
    <col min="17" max="16384" width="9.140625" style="1"/>
  </cols>
  <sheetData>
    <row r="1" spans="1:16" s="188" customFormat="1" ht="28.7" customHeight="1">
      <c r="A1" s="295" t="s">
        <v>88</v>
      </c>
      <c r="B1" s="296"/>
      <c r="C1" s="297"/>
      <c r="D1" s="297"/>
      <c r="K1" s="398"/>
    </row>
    <row r="2" spans="1:16">
      <c r="A2" s="291" t="s">
        <v>140</v>
      </c>
      <c r="B2" s="292" t="s">
        <v>151</v>
      </c>
      <c r="C2" s="293"/>
      <c r="D2" s="293"/>
      <c r="E2" s="294"/>
      <c r="F2" s="294"/>
      <c r="G2" s="294"/>
      <c r="H2" s="294"/>
      <c r="I2" s="294"/>
      <c r="J2" s="294"/>
      <c r="K2" s="294"/>
      <c r="L2" s="294"/>
      <c r="M2" s="294"/>
      <c r="N2" s="294"/>
      <c r="O2" s="294"/>
      <c r="P2" s="294"/>
    </row>
    <row r="3" spans="1:16">
      <c r="A3" s="76"/>
    </row>
    <row r="4" spans="1:16">
      <c r="A4" s="75" t="s">
        <v>64</v>
      </c>
      <c r="B4" s="73"/>
      <c r="C4" s="74"/>
      <c r="D4" s="74"/>
      <c r="E4" s="73"/>
      <c r="F4" s="73"/>
      <c r="G4" s="73"/>
      <c r="H4" s="73"/>
      <c r="I4" s="122"/>
      <c r="L4" s="73"/>
      <c r="M4" s="73"/>
      <c r="N4" s="73"/>
      <c r="O4" s="73"/>
      <c r="P4" s="73"/>
    </row>
    <row r="5" spans="1:16">
      <c r="A5" s="72" t="s">
        <v>63</v>
      </c>
      <c r="B5" s="71">
        <v>300</v>
      </c>
      <c r="F5" s="1" t="s">
        <v>62</v>
      </c>
      <c r="G5" s="41">
        <v>0.09</v>
      </c>
    </row>
    <row r="6" spans="1:16">
      <c r="A6" s="72" t="s">
        <v>61</v>
      </c>
      <c r="B6" s="92">
        <v>0.02</v>
      </c>
    </row>
    <row r="7" spans="1:16" ht="15" customHeight="1">
      <c r="A7" s="91" t="s">
        <v>60</v>
      </c>
      <c r="B7" s="90" t="s">
        <v>59</v>
      </c>
    </row>
    <row r="8" spans="1:16" ht="15" customHeight="1">
      <c r="A8" s="89"/>
      <c r="B8" s="88"/>
    </row>
    <row r="9" spans="1:16" s="85" customFormat="1">
      <c r="A9" s="87"/>
      <c r="C9" s="86"/>
      <c r="D9" s="514" t="s">
        <v>58</v>
      </c>
      <c r="E9" s="514"/>
      <c r="F9" s="514"/>
      <c r="K9" s="129"/>
      <c r="L9" s="516" t="s">
        <v>104</v>
      </c>
      <c r="M9" s="516"/>
      <c r="N9" s="516"/>
      <c r="O9" s="516"/>
      <c r="P9" s="516"/>
    </row>
    <row r="10" spans="1:16" s="81" customFormat="1" ht="41.25" customHeight="1">
      <c r="A10" s="84" t="s">
        <v>57</v>
      </c>
      <c r="B10" s="82" t="s">
        <v>56</v>
      </c>
      <c r="C10" s="83" t="s">
        <v>55</v>
      </c>
      <c r="D10" s="83" t="s">
        <v>54</v>
      </c>
      <c r="E10" s="82" t="s">
        <v>53</v>
      </c>
      <c r="F10" s="82" t="s">
        <v>52</v>
      </c>
      <c r="G10" s="82" t="s">
        <v>84</v>
      </c>
      <c r="H10" s="189" t="s">
        <v>135</v>
      </c>
      <c r="K10" s="128"/>
      <c r="L10" s="401" t="s">
        <v>105</v>
      </c>
      <c r="M10" s="402" t="s">
        <v>54</v>
      </c>
      <c r="N10" s="402" t="s">
        <v>53</v>
      </c>
      <c r="O10" s="402" t="s">
        <v>52</v>
      </c>
      <c r="P10" s="402" t="s">
        <v>135</v>
      </c>
    </row>
    <row r="11" spans="1:16">
      <c r="L11" s="403"/>
      <c r="M11" s="403"/>
      <c r="N11" s="403"/>
      <c r="O11" s="403"/>
      <c r="P11" s="403"/>
    </row>
    <row r="12" spans="1:16">
      <c r="A12" s="162" t="s">
        <v>74</v>
      </c>
      <c r="C12" s="161"/>
      <c r="D12" s="161"/>
      <c r="E12" s="161"/>
      <c r="F12" s="161"/>
      <c r="G12" s="161"/>
      <c r="H12" s="161"/>
      <c r="I12" s="161"/>
      <c r="J12" s="161"/>
      <c r="K12" s="276"/>
      <c r="L12" s="404"/>
      <c r="M12" s="404"/>
      <c r="N12" s="404"/>
      <c r="O12" s="404"/>
      <c r="P12" s="404"/>
    </row>
    <row r="13" spans="1:16">
      <c r="A13" s="162" t="s">
        <v>73</v>
      </c>
      <c r="B13" s="79">
        <v>1</v>
      </c>
      <c r="C13" s="161">
        <f>$B$5</f>
        <v>300</v>
      </c>
      <c r="D13" s="161"/>
      <c r="E13" s="161">
        <f>C13*$B$6</f>
        <v>6</v>
      </c>
      <c r="F13" s="161">
        <f t="shared" ref="F13:F43" si="0">D13+E13</f>
        <v>6</v>
      </c>
      <c r="G13" s="161">
        <v>0.5962673268792158</v>
      </c>
      <c r="H13" s="161">
        <f t="shared" ref="H13:H43" si="1">F13/G13</f>
        <v>10.062600665046004</v>
      </c>
      <c r="I13" s="161"/>
      <c r="J13" s="161"/>
      <c r="K13" s="276"/>
      <c r="L13" s="404"/>
      <c r="M13" s="404"/>
      <c r="N13" s="404"/>
      <c r="O13" s="404"/>
      <c r="P13" s="404"/>
    </row>
    <row r="14" spans="1:16">
      <c r="A14" s="162" t="s">
        <v>72</v>
      </c>
      <c r="B14" s="79">
        <v>2</v>
      </c>
      <c r="C14" s="161">
        <f>$B$5</f>
        <v>300</v>
      </c>
      <c r="D14" s="161"/>
      <c r="E14" s="161">
        <f>C14*$B$6</f>
        <v>6</v>
      </c>
      <c r="F14" s="161">
        <f t="shared" si="0"/>
        <v>6</v>
      </c>
      <c r="G14" s="161">
        <v>0.64993138629834524</v>
      </c>
      <c r="H14" s="161">
        <f t="shared" si="1"/>
        <v>9.2317437294000033</v>
      </c>
      <c r="I14" s="161"/>
      <c r="J14" s="161"/>
      <c r="K14" s="276"/>
      <c r="L14" s="404"/>
      <c r="M14" s="404"/>
      <c r="N14" s="404"/>
      <c r="O14" s="404"/>
      <c r="P14" s="404"/>
    </row>
    <row r="15" spans="1:16">
      <c r="A15" s="162" t="s">
        <v>71</v>
      </c>
      <c r="B15" s="79">
        <v>3</v>
      </c>
      <c r="C15" s="161">
        <f>$B$5</f>
        <v>300</v>
      </c>
      <c r="D15" s="161"/>
      <c r="E15" s="161">
        <f>C15*$B$6</f>
        <v>6</v>
      </c>
      <c r="F15" s="161">
        <f t="shared" si="0"/>
        <v>6</v>
      </c>
      <c r="G15" s="161">
        <v>0.7084252110651964</v>
      </c>
      <c r="H15" s="161">
        <f t="shared" si="1"/>
        <v>8.4694896600000025</v>
      </c>
      <c r="I15" s="161"/>
      <c r="J15" s="161"/>
      <c r="K15" s="276"/>
      <c r="L15" s="404"/>
      <c r="M15" s="404"/>
      <c r="N15" s="404"/>
      <c r="O15" s="404"/>
      <c r="P15" s="404"/>
    </row>
    <row r="16" spans="1:16">
      <c r="A16" s="162" t="s">
        <v>70</v>
      </c>
      <c r="B16" s="79">
        <v>4</v>
      </c>
      <c r="C16" s="161">
        <f>$B$5</f>
        <v>300</v>
      </c>
      <c r="D16" s="161"/>
      <c r="E16" s="161">
        <f>C16*$B$6</f>
        <v>6</v>
      </c>
      <c r="F16" s="161">
        <f t="shared" si="0"/>
        <v>6</v>
      </c>
      <c r="G16" s="161">
        <v>0.77218348006106419</v>
      </c>
      <c r="H16" s="161">
        <f t="shared" si="1"/>
        <v>7.7701740000000008</v>
      </c>
      <c r="I16" s="161"/>
      <c r="J16" s="161"/>
      <c r="K16" s="276"/>
      <c r="L16" s="404"/>
      <c r="M16" s="404"/>
      <c r="N16" s="404"/>
      <c r="O16" s="404"/>
      <c r="P16" s="404"/>
    </row>
    <row r="17" spans="1:16">
      <c r="A17" s="162" t="s">
        <v>69</v>
      </c>
      <c r="B17" s="79">
        <v>5</v>
      </c>
      <c r="C17" s="161">
        <f t="shared" ref="C17:C43" si="2">C16-D16</f>
        <v>300</v>
      </c>
      <c r="D17" s="56"/>
      <c r="E17" s="183"/>
      <c r="F17" s="161">
        <f t="shared" si="0"/>
        <v>0</v>
      </c>
      <c r="G17" s="161">
        <v>0.84167999326655996</v>
      </c>
      <c r="H17" s="161">
        <f t="shared" si="1"/>
        <v>0</v>
      </c>
      <c r="I17" s="161"/>
      <c r="J17" s="161"/>
      <c r="K17" s="276"/>
      <c r="L17" s="404"/>
      <c r="M17" s="404"/>
      <c r="N17" s="404"/>
      <c r="O17" s="404"/>
      <c r="P17" s="404"/>
    </row>
    <row r="18" spans="1:16" ht="12.75" customHeight="1">
      <c r="A18" s="156" t="s">
        <v>68</v>
      </c>
      <c r="B18" s="155">
        <v>6</v>
      </c>
      <c r="C18" s="163">
        <f t="shared" si="2"/>
        <v>300</v>
      </c>
      <c r="D18" s="163">
        <f>300/13</f>
        <v>23.076923076923077</v>
      </c>
      <c r="E18" s="184"/>
      <c r="F18" s="163">
        <f t="shared" si="0"/>
        <v>23.076923076923077</v>
      </c>
      <c r="G18" s="163">
        <v>0.9174311926605504</v>
      </c>
      <c r="H18" s="163">
        <f t="shared" si="1"/>
        <v>25.153846153846157</v>
      </c>
      <c r="I18" s="515" t="s">
        <v>79</v>
      </c>
      <c r="J18" s="518" t="s">
        <v>82</v>
      </c>
      <c r="K18" s="277"/>
      <c r="L18" s="405"/>
      <c r="M18" s="405"/>
      <c r="N18" s="405"/>
      <c r="O18" s="405"/>
      <c r="P18" s="404"/>
    </row>
    <row r="19" spans="1:16">
      <c r="A19" s="153" t="s">
        <v>49</v>
      </c>
      <c r="B19" s="152">
        <v>7</v>
      </c>
      <c r="C19" s="160">
        <f t="shared" si="2"/>
        <v>276.92307692307691</v>
      </c>
      <c r="D19" s="160"/>
      <c r="E19" s="160">
        <f t="shared" ref="E19:E43" si="3">(C19*$B$6)</f>
        <v>5.5384615384615383</v>
      </c>
      <c r="F19" s="160">
        <f t="shared" si="0"/>
        <v>5.5384615384615383</v>
      </c>
      <c r="G19" s="160">
        <v>1</v>
      </c>
      <c r="H19" s="160">
        <f t="shared" si="1"/>
        <v>5.5384615384615383</v>
      </c>
      <c r="I19" s="515"/>
      <c r="J19" s="518"/>
      <c r="K19" s="277"/>
      <c r="L19" s="404"/>
      <c r="M19" s="404"/>
      <c r="N19" s="404"/>
      <c r="O19" s="404"/>
      <c r="P19" s="404"/>
    </row>
    <row r="20" spans="1:16">
      <c r="A20" s="153" t="s">
        <v>48</v>
      </c>
      <c r="B20" s="152">
        <v>8</v>
      </c>
      <c r="C20" s="160">
        <f t="shared" si="2"/>
        <v>276.92307692307691</v>
      </c>
      <c r="D20" s="160"/>
      <c r="E20" s="160">
        <f t="shared" si="3"/>
        <v>5.5384615384615383</v>
      </c>
      <c r="F20" s="160">
        <f t="shared" si="0"/>
        <v>5.5384615384615383</v>
      </c>
      <c r="G20" s="160">
        <v>1.0900000000000001</v>
      </c>
      <c r="H20" s="160">
        <f t="shared" si="1"/>
        <v>5.0811573747353558</v>
      </c>
      <c r="I20" s="161"/>
      <c r="J20" s="518"/>
      <c r="K20" s="277"/>
      <c r="L20" s="404">
        <f>E16*2</f>
        <v>12</v>
      </c>
      <c r="M20" s="404"/>
      <c r="N20" s="404">
        <f t="shared" ref="N20:N43" si="4">L20*$B$6</f>
        <v>0.24</v>
      </c>
      <c r="O20" s="404">
        <f t="shared" ref="O20:O43" si="5">M20+N20</f>
        <v>0.24</v>
      </c>
      <c r="P20" s="404">
        <f>O20/G20</f>
        <v>0.22018348623853209</v>
      </c>
    </row>
    <row r="21" spans="1:16">
      <c r="A21" s="153" t="s">
        <v>47</v>
      </c>
      <c r="B21" s="152">
        <v>9</v>
      </c>
      <c r="C21" s="160">
        <f t="shared" si="2"/>
        <v>276.92307692307691</v>
      </c>
      <c r="D21" s="160"/>
      <c r="E21" s="160">
        <f t="shared" si="3"/>
        <v>5.5384615384615383</v>
      </c>
      <c r="F21" s="160">
        <f t="shared" si="0"/>
        <v>5.5384615384615383</v>
      </c>
      <c r="G21" s="160">
        <v>1.1881000000000002</v>
      </c>
      <c r="H21" s="160">
        <f t="shared" si="1"/>
        <v>4.6616122703994085</v>
      </c>
      <c r="I21" s="161"/>
      <c r="J21" s="518"/>
      <c r="K21" s="277"/>
      <c r="L21" s="404">
        <f t="shared" ref="L21:L43" si="6">L20-M20</f>
        <v>12</v>
      </c>
      <c r="M21" s="404"/>
      <c r="N21" s="404">
        <f t="shared" si="4"/>
        <v>0.24</v>
      </c>
      <c r="O21" s="404">
        <f t="shared" si="5"/>
        <v>0.24</v>
      </c>
      <c r="P21" s="404">
        <f t="shared" ref="P21:P43" si="7">O21/G21</f>
        <v>0.20200319838397437</v>
      </c>
    </row>
    <row r="22" spans="1:16">
      <c r="A22" s="153" t="s">
        <v>46</v>
      </c>
      <c r="B22" s="152">
        <v>10</v>
      </c>
      <c r="C22" s="160">
        <f t="shared" si="2"/>
        <v>276.92307692307691</v>
      </c>
      <c r="D22" s="160"/>
      <c r="E22" s="160">
        <f t="shared" si="3"/>
        <v>5.5384615384615383</v>
      </c>
      <c r="F22" s="160">
        <f t="shared" si="0"/>
        <v>5.5384615384615383</v>
      </c>
      <c r="G22" s="160">
        <v>1.2950290000000002</v>
      </c>
      <c r="H22" s="160">
        <f t="shared" si="1"/>
        <v>4.2767085049535858</v>
      </c>
      <c r="I22" s="161"/>
      <c r="J22" s="518"/>
      <c r="K22" s="277"/>
      <c r="L22" s="404">
        <f t="shared" si="6"/>
        <v>12</v>
      </c>
      <c r="M22" s="404"/>
      <c r="N22" s="404">
        <f t="shared" si="4"/>
        <v>0.24</v>
      </c>
      <c r="O22" s="404">
        <f t="shared" si="5"/>
        <v>0.24</v>
      </c>
      <c r="P22" s="404">
        <f t="shared" si="7"/>
        <v>0.18532403521465537</v>
      </c>
    </row>
    <row r="23" spans="1:16">
      <c r="A23" s="153" t="s">
        <v>45</v>
      </c>
      <c r="B23" s="152">
        <v>11</v>
      </c>
      <c r="C23" s="160">
        <f t="shared" si="2"/>
        <v>276.92307692307691</v>
      </c>
      <c r="D23" s="160"/>
      <c r="E23" s="160">
        <f t="shared" si="3"/>
        <v>5.5384615384615383</v>
      </c>
      <c r="F23" s="160">
        <f t="shared" si="0"/>
        <v>5.5384615384615383</v>
      </c>
      <c r="G23" s="160">
        <v>1.4115816100000003</v>
      </c>
      <c r="H23" s="160">
        <f t="shared" si="1"/>
        <v>3.9235857843610877</v>
      </c>
      <c r="I23" s="161"/>
      <c r="J23" s="518"/>
      <c r="K23" s="277"/>
      <c r="L23" s="404">
        <f t="shared" si="6"/>
        <v>12</v>
      </c>
      <c r="M23" s="404"/>
      <c r="N23" s="404">
        <f t="shared" si="4"/>
        <v>0.24</v>
      </c>
      <c r="O23" s="404">
        <f t="shared" si="5"/>
        <v>0.24</v>
      </c>
      <c r="P23" s="404">
        <f t="shared" si="7"/>
        <v>0.17002205065564713</v>
      </c>
    </row>
    <row r="24" spans="1:16">
      <c r="A24" s="162" t="s">
        <v>44</v>
      </c>
      <c r="B24" s="79">
        <v>12</v>
      </c>
      <c r="C24" s="161">
        <f t="shared" si="2"/>
        <v>276.92307692307691</v>
      </c>
      <c r="D24" s="56">
        <f t="shared" ref="D24:D43" si="8">($C$13-$D$18)/20</f>
        <v>13.846153846153845</v>
      </c>
      <c r="E24" s="161">
        <f t="shared" si="3"/>
        <v>5.5384615384615383</v>
      </c>
      <c r="F24" s="161">
        <f t="shared" si="0"/>
        <v>19.384615384615383</v>
      </c>
      <c r="G24" s="161">
        <v>1.5386239549000005</v>
      </c>
      <c r="H24" s="161">
        <f t="shared" si="1"/>
        <v>12.598669949783307</v>
      </c>
      <c r="I24" s="161"/>
      <c r="J24" s="161"/>
      <c r="K24" s="276"/>
      <c r="L24" s="404">
        <f t="shared" si="6"/>
        <v>12</v>
      </c>
      <c r="M24" s="404"/>
      <c r="N24" s="404">
        <f t="shared" si="4"/>
        <v>0.24</v>
      </c>
      <c r="O24" s="404">
        <f t="shared" si="5"/>
        <v>0.24</v>
      </c>
      <c r="P24" s="404">
        <f t="shared" si="7"/>
        <v>0.15598353271160287</v>
      </c>
    </row>
    <row r="25" spans="1:16">
      <c r="A25" s="162" t="s">
        <v>43</v>
      </c>
      <c r="B25" s="79">
        <v>13</v>
      </c>
      <c r="C25" s="161">
        <f t="shared" si="2"/>
        <v>263.07692307692304</v>
      </c>
      <c r="D25" s="56">
        <f t="shared" si="8"/>
        <v>13.846153846153845</v>
      </c>
      <c r="E25" s="161">
        <f t="shared" si="3"/>
        <v>5.2615384615384606</v>
      </c>
      <c r="F25" s="161">
        <f t="shared" si="0"/>
        <v>19.107692307692304</v>
      </c>
      <c r="G25" s="161">
        <v>1.6771001108410006</v>
      </c>
      <c r="H25" s="161">
        <f t="shared" si="1"/>
        <v>11.393292615138245</v>
      </c>
      <c r="I25" s="161"/>
      <c r="J25" s="161"/>
      <c r="K25" s="276"/>
      <c r="L25" s="404">
        <f t="shared" si="6"/>
        <v>12</v>
      </c>
      <c r="M25" s="404">
        <f t="shared" ref="M25:M43" si="9">$L$23/19</f>
        <v>0.63157894736842102</v>
      </c>
      <c r="N25" s="404">
        <f t="shared" si="4"/>
        <v>0.24</v>
      </c>
      <c r="O25" s="404">
        <f t="shared" si="5"/>
        <v>0.87157894736842101</v>
      </c>
      <c r="P25" s="404">
        <f t="shared" si="7"/>
        <v>0.51969404911156913</v>
      </c>
    </row>
    <row r="26" spans="1:16">
      <c r="A26" s="162" t="s">
        <v>42</v>
      </c>
      <c r="B26" s="79">
        <v>14</v>
      </c>
      <c r="C26" s="161">
        <f t="shared" si="2"/>
        <v>249.2307692307692</v>
      </c>
      <c r="D26" s="56">
        <f t="shared" si="8"/>
        <v>13.846153846153845</v>
      </c>
      <c r="E26" s="161">
        <f t="shared" si="3"/>
        <v>4.9846153846153838</v>
      </c>
      <c r="F26" s="161">
        <f t="shared" si="0"/>
        <v>18.830769230769228</v>
      </c>
      <c r="G26" s="161">
        <v>1.8280391208166906</v>
      </c>
      <c r="H26" s="161">
        <f t="shared" si="1"/>
        <v>10.301075625972619</v>
      </c>
      <c r="I26" s="161"/>
      <c r="J26" s="161"/>
      <c r="K26" s="276"/>
      <c r="L26" s="404">
        <f t="shared" si="6"/>
        <v>11.368421052631579</v>
      </c>
      <c r="M26" s="404">
        <f t="shared" si="9"/>
        <v>0.63157894736842102</v>
      </c>
      <c r="N26" s="404">
        <f t="shared" si="4"/>
        <v>0.22736842105263158</v>
      </c>
      <c r="O26" s="404">
        <f t="shared" si="5"/>
        <v>0.85894736842105257</v>
      </c>
      <c r="P26" s="404">
        <f t="shared" si="7"/>
        <v>0.46987362504436514</v>
      </c>
    </row>
    <row r="27" spans="1:16">
      <c r="A27" s="162" t="s">
        <v>41</v>
      </c>
      <c r="B27" s="79">
        <v>15</v>
      </c>
      <c r="C27" s="161">
        <f t="shared" si="2"/>
        <v>235.38461538461536</v>
      </c>
      <c r="D27" s="56">
        <f t="shared" si="8"/>
        <v>13.846153846153845</v>
      </c>
      <c r="E27" s="161">
        <f t="shared" si="3"/>
        <v>4.707692307692307</v>
      </c>
      <c r="F27" s="161">
        <f t="shared" si="0"/>
        <v>18.553846153846152</v>
      </c>
      <c r="G27" s="161">
        <v>1.9925626416901929</v>
      </c>
      <c r="H27" s="161">
        <f t="shared" si="1"/>
        <v>9.3115497428516658</v>
      </c>
      <c r="I27" s="161"/>
      <c r="J27" s="161"/>
      <c r="K27" s="276"/>
      <c r="L27" s="404">
        <f t="shared" si="6"/>
        <v>10.736842105263158</v>
      </c>
      <c r="M27" s="404">
        <f t="shared" si="9"/>
        <v>0.63157894736842102</v>
      </c>
      <c r="N27" s="404">
        <f t="shared" si="4"/>
        <v>0.21473684210526314</v>
      </c>
      <c r="O27" s="404">
        <f t="shared" si="5"/>
        <v>0.84631578947368413</v>
      </c>
      <c r="P27" s="404">
        <f t="shared" si="7"/>
        <v>0.4247373566914795</v>
      </c>
    </row>
    <row r="28" spans="1:16">
      <c r="A28" s="162" t="s">
        <v>40</v>
      </c>
      <c r="B28" s="79">
        <v>16</v>
      </c>
      <c r="C28" s="161">
        <f t="shared" si="2"/>
        <v>221.53846153846152</v>
      </c>
      <c r="D28" s="56">
        <f t="shared" si="8"/>
        <v>13.846153846153845</v>
      </c>
      <c r="E28" s="161">
        <f t="shared" si="3"/>
        <v>4.4307692307692301</v>
      </c>
      <c r="F28" s="161">
        <f t="shared" si="0"/>
        <v>18.276923076923076</v>
      </c>
      <c r="G28" s="161">
        <v>2.1718932794423105</v>
      </c>
      <c r="H28" s="161">
        <f t="shared" si="1"/>
        <v>8.4152031086979306</v>
      </c>
      <c r="I28" s="161"/>
      <c r="J28" s="161"/>
      <c r="K28" s="276"/>
      <c r="L28" s="404">
        <f t="shared" si="6"/>
        <v>10.105263157894736</v>
      </c>
      <c r="M28" s="404">
        <f t="shared" si="9"/>
        <v>0.63157894736842102</v>
      </c>
      <c r="N28" s="404">
        <f t="shared" si="4"/>
        <v>0.20210526315789473</v>
      </c>
      <c r="O28" s="404">
        <f t="shared" si="5"/>
        <v>0.83368421052631581</v>
      </c>
      <c r="P28" s="404">
        <f t="shared" si="7"/>
        <v>0.383851369870432</v>
      </c>
    </row>
    <row r="29" spans="1:16">
      <c r="A29" s="162" t="s">
        <v>39</v>
      </c>
      <c r="B29" s="79">
        <v>17</v>
      </c>
      <c r="C29" s="161">
        <f t="shared" si="2"/>
        <v>207.69230769230768</v>
      </c>
      <c r="D29" s="56">
        <f t="shared" si="8"/>
        <v>13.846153846153845</v>
      </c>
      <c r="E29" s="161">
        <f t="shared" si="3"/>
        <v>4.1538461538461533</v>
      </c>
      <c r="F29" s="161">
        <f t="shared" si="0"/>
        <v>18</v>
      </c>
      <c r="G29" s="161">
        <v>2.3673636745921187</v>
      </c>
      <c r="H29" s="161">
        <f t="shared" si="1"/>
        <v>7.6033945241224004</v>
      </c>
      <c r="I29" s="161"/>
      <c r="J29" s="161"/>
      <c r="K29" s="276"/>
      <c r="L29" s="404">
        <f t="shared" si="6"/>
        <v>9.473684210526315</v>
      </c>
      <c r="M29" s="404">
        <f t="shared" si="9"/>
        <v>0.63157894736842102</v>
      </c>
      <c r="N29" s="404">
        <f t="shared" si="4"/>
        <v>0.18947368421052629</v>
      </c>
      <c r="O29" s="404">
        <f t="shared" si="5"/>
        <v>0.82105263157894726</v>
      </c>
      <c r="P29" s="404">
        <f t="shared" si="7"/>
        <v>0.34682150460909189</v>
      </c>
    </row>
    <row r="30" spans="1:16">
      <c r="A30" s="162" t="s">
        <v>38</v>
      </c>
      <c r="B30" s="79">
        <v>18</v>
      </c>
      <c r="C30" s="161">
        <f t="shared" si="2"/>
        <v>193.84615384615384</v>
      </c>
      <c r="D30" s="56">
        <f t="shared" si="8"/>
        <v>13.846153846153845</v>
      </c>
      <c r="E30" s="161">
        <f t="shared" si="3"/>
        <v>3.8769230769230769</v>
      </c>
      <c r="F30" s="161">
        <f t="shared" si="0"/>
        <v>17.723076923076921</v>
      </c>
      <c r="G30" s="161">
        <v>2.5804264053054093</v>
      </c>
      <c r="H30" s="161">
        <f t="shared" si="1"/>
        <v>6.8682745172030142</v>
      </c>
      <c r="I30" s="161"/>
      <c r="J30" s="161"/>
      <c r="K30" s="276"/>
      <c r="L30" s="404">
        <f t="shared" si="6"/>
        <v>8.8421052631578938</v>
      </c>
      <c r="M30" s="404">
        <f t="shared" si="9"/>
        <v>0.63157894736842102</v>
      </c>
      <c r="N30" s="404">
        <f t="shared" si="4"/>
        <v>0.17684210526315788</v>
      </c>
      <c r="O30" s="404">
        <f t="shared" si="5"/>
        <v>0.80842105263157893</v>
      </c>
      <c r="P30" s="404">
        <f t="shared" si="7"/>
        <v>0.31328971481978668</v>
      </c>
    </row>
    <row r="31" spans="1:16">
      <c r="A31" s="153" t="s">
        <v>37</v>
      </c>
      <c r="B31" s="152">
        <v>19</v>
      </c>
      <c r="C31" s="160">
        <f t="shared" si="2"/>
        <v>180</v>
      </c>
      <c r="D31" s="160">
        <f t="shared" si="8"/>
        <v>13.846153846153845</v>
      </c>
      <c r="E31" s="160">
        <f t="shared" si="3"/>
        <v>3.6</v>
      </c>
      <c r="F31" s="160">
        <f t="shared" si="0"/>
        <v>17.446153846153845</v>
      </c>
      <c r="G31" s="160">
        <v>2.812664781782896</v>
      </c>
      <c r="H31" s="160">
        <f t="shared" si="1"/>
        <v>6.2027135118089154</v>
      </c>
      <c r="I31" s="161"/>
      <c r="J31" s="518" t="s">
        <v>81</v>
      </c>
      <c r="K31" s="277"/>
      <c r="L31" s="404">
        <f t="shared" si="6"/>
        <v>8.2105263157894726</v>
      </c>
      <c r="M31" s="404">
        <f t="shared" si="9"/>
        <v>0.63157894736842102</v>
      </c>
      <c r="N31" s="404">
        <f t="shared" si="4"/>
        <v>0.16421052631578945</v>
      </c>
      <c r="O31" s="404">
        <f t="shared" si="5"/>
        <v>0.79578947368421049</v>
      </c>
      <c r="P31" s="404">
        <f t="shared" si="7"/>
        <v>0.28293079176672248</v>
      </c>
    </row>
    <row r="32" spans="1:16">
      <c r="A32" s="153" t="s">
        <v>36</v>
      </c>
      <c r="B32" s="152">
        <v>20</v>
      </c>
      <c r="C32" s="160">
        <f t="shared" si="2"/>
        <v>166.15384615384616</v>
      </c>
      <c r="D32" s="160">
        <f t="shared" si="8"/>
        <v>13.846153846153845</v>
      </c>
      <c r="E32" s="160">
        <f t="shared" si="3"/>
        <v>3.3230769230769233</v>
      </c>
      <c r="F32" s="160">
        <f t="shared" si="0"/>
        <v>17.169230769230769</v>
      </c>
      <c r="G32" s="160">
        <v>3.0658046121433573</v>
      </c>
      <c r="H32" s="160">
        <f t="shared" si="1"/>
        <v>5.6002364603488086</v>
      </c>
      <c r="I32" s="161"/>
      <c r="J32" s="518"/>
      <c r="K32" s="277"/>
      <c r="L32" s="404">
        <f t="shared" si="6"/>
        <v>7.5789473684210513</v>
      </c>
      <c r="M32" s="404">
        <f t="shared" si="9"/>
        <v>0.63157894736842102</v>
      </c>
      <c r="N32" s="404">
        <f t="shared" si="4"/>
        <v>0.15157894736842104</v>
      </c>
      <c r="O32" s="404">
        <f t="shared" si="5"/>
        <v>0.78315789473684205</v>
      </c>
      <c r="P32" s="404">
        <f t="shared" si="7"/>
        <v>0.25544938240187548</v>
      </c>
    </row>
    <row r="33" spans="1:16">
      <c r="A33" s="153" t="s">
        <v>35</v>
      </c>
      <c r="B33" s="152">
        <v>21</v>
      </c>
      <c r="C33" s="160">
        <f t="shared" si="2"/>
        <v>152.30769230769232</v>
      </c>
      <c r="D33" s="160">
        <f t="shared" si="8"/>
        <v>13.846153846153845</v>
      </c>
      <c r="E33" s="160">
        <f t="shared" si="3"/>
        <v>3.0461538461538464</v>
      </c>
      <c r="F33" s="160">
        <f t="shared" si="0"/>
        <v>16.892307692307693</v>
      </c>
      <c r="G33" s="160">
        <v>3.3417270272362596</v>
      </c>
      <c r="H33" s="160">
        <f t="shared" si="1"/>
        <v>5.0549633631440862</v>
      </c>
      <c r="I33" s="161"/>
      <c r="J33" s="518"/>
      <c r="K33" s="277"/>
      <c r="L33" s="404">
        <f t="shared" si="6"/>
        <v>6.9473684210526301</v>
      </c>
      <c r="M33" s="404">
        <f t="shared" si="9"/>
        <v>0.63157894736842102</v>
      </c>
      <c r="N33" s="404">
        <f t="shared" si="4"/>
        <v>0.1389473684210526</v>
      </c>
      <c r="O33" s="404">
        <f t="shared" si="5"/>
        <v>0.77052631578947361</v>
      </c>
      <c r="P33" s="404">
        <f t="shared" si="7"/>
        <v>0.23057727621358987</v>
      </c>
    </row>
    <row r="34" spans="1:16">
      <c r="A34" s="153" t="s">
        <v>34</v>
      </c>
      <c r="B34" s="152">
        <v>22</v>
      </c>
      <c r="C34" s="160">
        <f t="shared" si="2"/>
        <v>138.46153846153848</v>
      </c>
      <c r="D34" s="160">
        <f t="shared" si="8"/>
        <v>13.846153846153845</v>
      </c>
      <c r="E34" s="160">
        <f t="shared" si="3"/>
        <v>2.7692307692307696</v>
      </c>
      <c r="F34" s="160">
        <f t="shared" si="0"/>
        <v>16.615384615384613</v>
      </c>
      <c r="G34" s="160">
        <v>3.6424824596875229</v>
      </c>
      <c r="H34" s="160">
        <f t="shared" si="1"/>
        <v>4.5615551479718022</v>
      </c>
      <c r="I34" s="161"/>
      <c r="J34" s="518"/>
      <c r="K34" s="277"/>
      <c r="L34" s="404">
        <f t="shared" si="6"/>
        <v>6.3157894736842088</v>
      </c>
      <c r="M34" s="404">
        <f t="shared" si="9"/>
        <v>0.63157894736842102</v>
      </c>
      <c r="N34" s="404">
        <f t="shared" si="4"/>
        <v>0.12631578947368419</v>
      </c>
      <c r="O34" s="404">
        <f t="shared" si="5"/>
        <v>0.75789473684210518</v>
      </c>
      <c r="P34" s="404">
        <f t="shared" si="7"/>
        <v>0.2080709365741524</v>
      </c>
    </row>
    <row r="35" spans="1:16">
      <c r="A35" s="153" t="s">
        <v>33</v>
      </c>
      <c r="B35" s="152">
        <v>23</v>
      </c>
      <c r="C35" s="160">
        <f t="shared" si="2"/>
        <v>124.61538461538464</v>
      </c>
      <c r="D35" s="160">
        <f t="shared" si="8"/>
        <v>13.846153846153845</v>
      </c>
      <c r="E35" s="160">
        <f t="shared" si="3"/>
        <v>2.4923076923076928</v>
      </c>
      <c r="F35" s="160">
        <f t="shared" si="0"/>
        <v>16.338461538461537</v>
      </c>
      <c r="G35" s="160">
        <v>3.9703058810594003</v>
      </c>
      <c r="H35" s="160">
        <f t="shared" si="1"/>
        <v>4.115164430127467</v>
      </c>
      <c r="I35" s="161"/>
      <c r="J35" s="518"/>
      <c r="K35" s="277"/>
      <c r="L35" s="404">
        <f t="shared" si="6"/>
        <v>5.6842105263157876</v>
      </c>
      <c r="M35" s="404">
        <f t="shared" si="9"/>
        <v>0.63157894736842102</v>
      </c>
      <c r="N35" s="404">
        <f t="shared" si="4"/>
        <v>0.11368421052631575</v>
      </c>
      <c r="O35" s="404">
        <f t="shared" si="5"/>
        <v>0.74526315789473674</v>
      </c>
      <c r="P35" s="404">
        <f t="shared" si="7"/>
        <v>0.18770925470756866</v>
      </c>
    </row>
    <row r="36" spans="1:16">
      <c r="A36" s="153" t="s">
        <v>32</v>
      </c>
      <c r="B36" s="152">
        <v>24</v>
      </c>
      <c r="C36" s="160">
        <f t="shared" si="2"/>
        <v>110.7692307692308</v>
      </c>
      <c r="D36" s="160">
        <f t="shared" si="8"/>
        <v>13.846153846153845</v>
      </c>
      <c r="E36" s="160">
        <f t="shared" si="3"/>
        <v>2.215384615384616</v>
      </c>
      <c r="F36" s="160">
        <f t="shared" si="0"/>
        <v>16.061538461538461</v>
      </c>
      <c r="G36" s="160">
        <v>4.3276334103547462</v>
      </c>
      <c r="H36" s="160">
        <f t="shared" si="1"/>
        <v>3.7113907160222843</v>
      </c>
      <c r="I36" s="161"/>
      <c r="J36" s="518"/>
      <c r="K36" s="277"/>
      <c r="L36" s="404">
        <f t="shared" si="6"/>
        <v>5.0526315789473664</v>
      </c>
      <c r="M36" s="404">
        <f t="shared" si="9"/>
        <v>0.63157894736842102</v>
      </c>
      <c r="N36" s="404">
        <f t="shared" si="4"/>
        <v>0.10105263157894732</v>
      </c>
      <c r="O36" s="404">
        <f t="shared" si="5"/>
        <v>0.7326315789473683</v>
      </c>
      <c r="P36" s="404">
        <f t="shared" si="7"/>
        <v>0.16929150634487611</v>
      </c>
    </row>
    <row r="37" spans="1:16">
      <c r="A37" s="153" t="s">
        <v>31</v>
      </c>
      <c r="B37" s="152">
        <v>25</v>
      </c>
      <c r="C37" s="160">
        <f t="shared" si="2"/>
        <v>96.923076923076962</v>
      </c>
      <c r="D37" s="160">
        <f t="shared" si="8"/>
        <v>13.846153846153845</v>
      </c>
      <c r="E37" s="160">
        <f t="shared" si="3"/>
        <v>1.9384615384615393</v>
      </c>
      <c r="F37" s="160">
        <f t="shared" si="0"/>
        <v>15.784615384615384</v>
      </c>
      <c r="G37" s="160">
        <v>4.7171204172866741</v>
      </c>
      <c r="H37" s="160">
        <f t="shared" si="1"/>
        <v>3.3462396522187623</v>
      </c>
      <c r="I37" s="161"/>
      <c r="J37" s="278"/>
      <c r="K37" s="277"/>
      <c r="L37" s="404">
        <f t="shared" si="6"/>
        <v>4.4210526315789451</v>
      </c>
      <c r="M37" s="404">
        <f t="shared" si="9"/>
        <v>0.63157894736842102</v>
      </c>
      <c r="N37" s="404">
        <f t="shared" si="4"/>
        <v>8.84210526315789E-2</v>
      </c>
      <c r="O37" s="404">
        <f t="shared" si="5"/>
        <v>0.72</v>
      </c>
      <c r="P37" s="404">
        <f t="shared" si="7"/>
        <v>0.15263549290822426</v>
      </c>
    </row>
    <row r="38" spans="1:16">
      <c r="A38" s="153" t="s">
        <v>30</v>
      </c>
      <c r="B38" s="152">
        <v>26</v>
      </c>
      <c r="C38" s="160">
        <f t="shared" si="2"/>
        <v>83.076923076923123</v>
      </c>
      <c r="D38" s="160">
        <f t="shared" si="8"/>
        <v>13.846153846153845</v>
      </c>
      <c r="E38" s="160">
        <f t="shared" si="3"/>
        <v>1.6615384615384625</v>
      </c>
      <c r="F38" s="160">
        <f t="shared" si="0"/>
        <v>15.507692307692308</v>
      </c>
      <c r="G38" s="160">
        <v>5.1416612548424752</v>
      </c>
      <c r="H38" s="160">
        <f t="shared" si="1"/>
        <v>3.0160859572549605</v>
      </c>
      <c r="I38" s="161"/>
      <c r="J38" s="278"/>
      <c r="K38" s="277"/>
      <c r="L38" s="404">
        <f t="shared" si="6"/>
        <v>3.7894736842105239</v>
      </c>
      <c r="M38" s="404">
        <f t="shared" si="9"/>
        <v>0.63157894736842102</v>
      </c>
      <c r="N38" s="404">
        <f t="shared" si="4"/>
        <v>7.5789473684210476E-2</v>
      </c>
      <c r="O38" s="404">
        <f t="shared" si="5"/>
        <v>0.70736842105263154</v>
      </c>
      <c r="P38" s="404">
        <f t="shared" si="7"/>
        <v>0.1375758506818052</v>
      </c>
    </row>
    <row r="39" spans="1:16">
      <c r="A39" s="153" t="s">
        <v>29</v>
      </c>
      <c r="B39" s="152">
        <v>27</v>
      </c>
      <c r="C39" s="160">
        <f t="shared" si="2"/>
        <v>69.230769230769283</v>
      </c>
      <c r="D39" s="160">
        <f t="shared" si="8"/>
        <v>13.846153846153845</v>
      </c>
      <c r="E39" s="160">
        <f t="shared" si="3"/>
        <v>1.3846153846153857</v>
      </c>
      <c r="F39" s="160">
        <f t="shared" si="0"/>
        <v>15.23076923076923</v>
      </c>
      <c r="G39" s="160">
        <v>5.6044107677782975</v>
      </c>
      <c r="H39" s="160">
        <f t="shared" si="1"/>
        <v>2.7176397059145287</v>
      </c>
      <c r="I39" s="161"/>
      <c r="J39" s="278"/>
      <c r="K39" s="277"/>
      <c r="L39" s="404">
        <f t="shared" si="6"/>
        <v>3.1578947368421026</v>
      </c>
      <c r="M39" s="404">
        <f t="shared" si="9"/>
        <v>0.63157894736842102</v>
      </c>
      <c r="N39" s="404">
        <f t="shared" si="4"/>
        <v>6.3157894736842052E-2</v>
      </c>
      <c r="O39" s="404">
        <f t="shared" si="5"/>
        <v>0.6947368421052631</v>
      </c>
      <c r="P39" s="404">
        <f t="shared" si="7"/>
        <v>0.12396251290136445</v>
      </c>
    </row>
    <row r="40" spans="1:16">
      <c r="A40" s="153" t="s">
        <v>28</v>
      </c>
      <c r="B40" s="152">
        <v>28</v>
      </c>
      <c r="C40" s="160">
        <f t="shared" si="2"/>
        <v>55.384615384615437</v>
      </c>
      <c r="D40" s="160">
        <f t="shared" si="8"/>
        <v>13.846153846153845</v>
      </c>
      <c r="E40" s="160">
        <f t="shared" si="3"/>
        <v>1.1076923076923089</v>
      </c>
      <c r="F40" s="160">
        <f t="shared" si="0"/>
        <v>14.953846153846154</v>
      </c>
      <c r="G40" s="160">
        <v>6.1088077368783456</v>
      </c>
      <c r="H40" s="160">
        <f t="shared" si="1"/>
        <v>2.4479156650439453</v>
      </c>
      <c r="I40" s="161"/>
      <c r="J40" s="278"/>
      <c r="K40" s="277"/>
      <c r="L40" s="404">
        <f t="shared" si="6"/>
        <v>2.5263157894736814</v>
      </c>
      <c r="M40" s="404">
        <f t="shared" si="9"/>
        <v>0.63157894736842102</v>
      </c>
      <c r="N40" s="404">
        <f t="shared" si="4"/>
        <v>5.0526315789473628E-2</v>
      </c>
      <c r="O40" s="404">
        <f t="shared" si="5"/>
        <v>0.68210526315789466</v>
      </c>
      <c r="P40" s="404">
        <f t="shared" si="7"/>
        <v>0.11165931103709223</v>
      </c>
    </row>
    <row r="41" spans="1:16">
      <c r="A41" s="153" t="s">
        <v>27</v>
      </c>
      <c r="B41" s="152">
        <v>29</v>
      </c>
      <c r="C41" s="160">
        <f t="shared" si="2"/>
        <v>41.53846153846159</v>
      </c>
      <c r="D41" s="160">
        <f t="shared" si="8"/>
        <v>13.846153846153845</v>
      </c>
      <c r="E41" s="160">
        <f t="shared" si="3"/>
        <v>0.83076923076923181</v>
      </c>
      <c r="F41" s="160">
        <f t="shared" si="0"/>
        <v>14.676923076923076</v>
      </c>
      <c r="G41" s="160">
        <v>6.6586004331973969</v>
      </c>
      <c r="H41" s="160">
        <f t="shared" si="1"/>
        <v>2.204205406852346</v>
      </c>
      <c r="I41" s="161"/>
      <c r="J41" s="278"/>
      <c r="K41" s="277"/>
      <c r="L41" s="404">
        <f t="shared" si="6"/>
        <v>1.8947368421052604</v>
      </c>
      <c r="M41" s="404">
        <f t="shared" si="9"/>
        <v>0.63157894736842102</v>
      </c>
      <c r="N41" s="404">
        <f t="shared" si="4"/>
        <v>3.789473684210521E-2</v>
      </c>
      <c r="O41" s="404">
        <f t="shared" si="5"/>
        <v>0.66947368421052622</v>
      </c>
      <c r="P41" s="404">
        <f t="shared" si="7"/>
        <v>0.1005427027687035</v>
      </c>
    </row>
    <row r="42" spans="1:16">
      <c r="A42" s="153" t="s">
        <v>26</v>
      </c>
      <c r="B42" s="152">
        <v>30</v>
      </c>
      <c r="C42" s="160">
        <f t="shared" si="2"/>
        <v>27.692307692307743</v>
      </c>
      <c r="D42" s="160">
        <f t="shared" si="8"/>
        <v>13.846153846153845</v>
      </c>
      <c r="E42" s="160">
        <f t="shared" si="3"/>
        <v>0.55384615384615488</v>
      </c>
      <c r="F42" s="160">
        <f t="shared" si="0"/>
        <v>14.4</v>
      </c>
      <c r="G42" s="160">
        <v>7.2578744721851622</v>
      </c>
      <c r="H42" s="160">
        <f t="shared" si="1"/>
        <v>1.984051950083469</v>
      </c>
      <c r="I42" s="161"/>
      <c r="J42" s="278"/>
      <c r="K42" s="277"/>
      <c r="L42" s="404">
        <f t="shared" si="6"/>
        <v>1.2631578947368394</v>
      </c>
      <c r="M42" s="404">
        <f t="shared" si="9"/>
        <v>0.63157894736842102</v>
      </c>
      <c r="N42" s="404">
        <f t="shared" si="4"/>
        <v>2.5263157894736789E-2</v>
      </c>
      <c r="O42" s="404">
        <f t="shared" si="5"/>
        <v>0.65684210526315778</v>
      </c>
      <c r="P42" s="404">
        <f t="shared" si="7"/>
        <v>9.0500615266965234E-2</v>
      </c>
    </row>
    <row r="43" spans="1:16">
      <c r="A43" s="153" t="s">
        <v>25</v>
      </c>
      <c r="B43" s="152">
        <v>31</v>
      </c>
      <c r="C43" s="160">
        <f t="shared" si="2"/>
        <v>13.846153846153898</v>
      </c>
      <c r="D43" s="160">
        <f t="shared" si="8"/>
        <v>13.846153846153845</v>
      </c>
      <c r="E43" s="160">
        <f t="shared" si="3"/>
        <v>0.27692307692307799</v>
      </c>
      <c r="F43" s="160">
        <f t="shared" si="0"/>
        <v>14.123076923076923</v>
      </c>
      <c r="G43" s="160">
        <v>7.9110831746818278</v>
      </c>
      <c r="H43" s="160">
        <f t="shared" si="1"/>
        <v>1.7852267017335375</v>
      </c>
      <c r="I43" s="161"/>
      <c r="J43" s="278"/>
      <c r="K43" s="277"/>
      <c r="L43" s="404">
        <f t="shared" si="6"/>
        <v>0.63157894736841835</v>
      </c>
      <c r="M43" s="404">
        <f t="shared" si="9"/>
        <v>0.63157894736842102</v>
      </c>
      <c r="N43" s="404">
        <f t="shared" si="4"/>
        <v>1.2631578947368367E-2</v>
      </c>
      <c r="O43" s="404">
        <f t="shared" si="5"/>
        <v>0.64421052631578934</v>
      </c>
      <c r="P43" s="404">
        <f t="shared" si="7"/>
        <v>8.143139341240696E-2</v>
      </c>
    </row>
    <row r="44" spans="1:16">
      <c r="A44" s="162"/>
      <c r="B44" s="79"/>
      <c r="C44" s="161"/>
      <c r="D44" s="56"/>
      <c r="E44" s="161"/>
      <c r="F44" s="161"/>
      <c r="G44" s="161"/>
      <c r="H44" s="161"/>
      <c r="I44" s="161"/>
      <c r="J44" s="161"/>
      <c r="K44" s="276"/>
      <c r="L44" s="404"/>
      <c r="M44" s="404"/>
      <c r="N44" s="404"/>
      <c r="O44" s="404"/>
      <c r="P44" s="404"/>
    </row>
    <row r="45" spans="1:16" s="66" customFormat="1">
      <c r="A45" s="137"/>
      <c r="C45" s="172"/>
      <c r="D45" s="172"/>
      <c r="E45" s="172"/>
      <c r="F45" s="172"/>
      <c r="G45" s="275" t="s">
        <v>67</v>
      </c>
      <c r="H45" s="272">
        <f>SUM(H13:H43)</f>
        <v>197.40822843349727</v>
      </c>
      <c r="I45" s="172"/>
      <c r="J45" s="172"/>
      <c r="K45" s="279"/>
      <c r="L45" s="406"/>
      <c r="M45" s="406"/>
      <c r="N45" s="406"/>
      <c r="O45" s="406" t="s">
        <v>67</v>
      </c>
      <c r="P45" s="406">
        <f>SUM(P13:P43)</f>
        <v>5.5241209503364832</v>
      </c>
    </row>
    <row r="46" spans="1:16" s="66" customFormat="1">
      <c r="A46" s="137"/>
      <c r="C46" s="136"/>
      <c r="D46" s="136"/>
      <c r="E46" s="138"/>
      <c r="F46" s="138"/>
      <c r="G46" s="98"/>
      <c r="H46" s="165"/>
      <c r="K46" s="135"/>
      <c r="L46" s="53"/>
    </row>
    <row r="47" spans="1:16" s="66" customFormat="1">
      <c r="A47" s="137"/>
      <c r="C47" s="136"/>
      <c r="D47" s="136"/>
      <c r="E47" s="138"/>
      <c r="F47" s="372"/>
      <c r="G47" s="399" t="s">
        <v>78</v>
      </c>
      <c r="H47" s="400">
        <f>300*1.09^7-H45</f>
        <v>351.00350781150996</v>
      </c>
      <c r="I47" s="172"/>
      <c r="K47" s="135"/>
      <c r="L47" s="115"/>
    </row>
    <row r="48" spans="1:16" s="66" customFormat="1">
      <c r="A48" s="137"/>
      <c r="C48" s="136"/>
      <c r="D48" s="136"/>
      <c r="E48" s="138"/>
      <c r="F48" s="373"/>
      <c r="G48" s="385"/>
      <c r="H48" s="386"/>
      <c r="I48" s="172"/>
      <c r="L48" s="115"/>
    </row>
    <row r="49" spans="1:16" s="66" customFormat="1">
      <c r="A49" s="137"/>
      <c r="C49" s="136"/>
      <c r="D49" s="136"/>
      <c r="E49" s="138"/>
      <c r="F49" s="373"/>
      <c r="G49" s="385"/>
      <c r="H49" s="386"/>
      <c r="I49" s="172"/>
      <c r="L49" s="115"/>
    </row>
    <row r="50" spans="1:16" s="45" customFormat="1">
      <c r="A50" s="291" t="s">
        <v>141</v>
      </c>
      <c r="B50" s="291" t="s">
        <v>142</v>
      </c>
      <c r="C50" s="293"/>
      <c r="D50" s="293"/>
      <c r="E50" s="298"/>
      <c r="F50" s="298"/>
      <c r="G50" s="299"/>
      <c r="H50" s="300"/>
      <c r="I50" s="294"/>
      <c r="J50" s="294"/>
      <c r="K50" s="294"/>
      <c r="L50" s="294"/>
      <c r="M50" s="294"/>
      <c r="N50" s="294"/>
      <c r="O50" s="294"/>
      <c r="P50" s="294"/>
    </row>
    <row r="51" spans="1:16" s="66" customFormat="1">
      <c r="A51" s="137"/>
      <c r="C51" s="136"/>
      <c r="D51" s="136"/>
      <c r="E51" s="138"/>
      <c r="F51" s="138"/>
      <c r="G51" s="98"/>
      <c r="H51" s="165"/>
    </row>
    <row r="52" spans="1:16" s="66" customFormat="1">
      <c r="A52" s="137"/>
      <c r="C52" s="136"/>
      <c r="D52" s="136"/>
      <c r="E52" s="138"/>
      <c r="F52" s="138"/>
      <c r="G52" s="64" t="s">
        <v>180</v>
      </c>
      <c r="H52" s="165">
        <f>'Example 1_ step 0'!H34 * (1+0.09)^7</f>
        <v>266.8851952145248</v>
      </c>
    </row>
    <row r="53" spans="1:16" s="66" customFormat="1" ht="10.7" customHeight="1">
      <c r="A53" s="51"/>
      <c r="B53" s="121"/>
      <c r="C53" s="164"/>
      <c r="D53" s="136"/>
      <c r="E53" s="138"/>
      <c r="F53" s="55"/>
      <c r="G53" s="64" t="s">
        <v>182</v>
      </c>
      <c r="H53" s="115">
        <f>L20-P45</f>
        <v>6.4758790496635168</v>
      </c>
    </row>
    <row r="54" spans="1:16" s="66" customFormat="1" ht="22.7" customHeight="1">
      <c r="C54" s="49"/>
      <c r="D54" s="49"/>
      <c r="E54" s="55"/>
      <c r="F54" s="395"/>
      <c r="G54" s="362" t="s">
        <v>181</v>
      </c>
      <c r="H54" s="383">
        <f>H47-H52+H53</f>
        <v>90.594191646648682</v>
      </c>
    </row>
    <row r="55" spans="1:16" s="66" customFormat="1">
      <c r="F55" s="120"/>
    </row>
    <row r="56" spans="1:16" s="45" customFormat="1" ht="15.75" customHeight="1">
      <c r="A56" s="291" t="s">
        <v>152</v>
      </c>
      <c r="B56" s="291" t="s">
        <v>143</v>
      </c>
      <c r="C56" s="293"/>
      <c r="D56" s="293"/>
      <c r="E56" s="298"/>
      <c r="F56" s="298"/>
      <c r="G56" s="299"/>
      <c r="H56" s="300"/>
      <c r="I56" s="294"/>
      <c r="J56" s="294"/>
      <c r="K56" s="294"/>
      <c r="L56" s="294"/>
      <c r="M56" s="294"/>
      <c r="N56" s="294"/>
      <c r="O56" s="294"/>
      <c r="P56" s="294"/>
    </row>
    <row r="57" spans="1:16" s="45" customFormat="1">
      <c r="A57" s="47"/>
      <c r="C57" s="46"/>
      <c r="D57" s="46"/>
      <c r="I57" s="2"/>
    </row>
    <row r="58" spans="1:16" s="45" customFormat="1">
      <c r="A58" s="311" t="s">
        <v>0</v>
      </c>
      <c r="B58" s="56">
        <f>B5</f>
        <v>300</v>
      </c>
      <c r="C58" s="46"/>
      <c r="D58" s="46"/>
      <c r="I58" s="2"/>
    </row>
    <row r="59" spans="1:16" s="45" customFormat="1">
      <c r="A59" s="311" t="s">
        <v>145</v>
      </c>
      <c r="B59" s="56">
        <f>'Example 1_ step 0'!H34</f>
        <v>145.9953412240389</v>
      </c>
      <c r="C59" s="46"/>
      <c r="D59" s="46"/>
      <c r="I59" s="2"/>
    </row>
    <row r="60" spans="1:16" s="45" customFormat="1" ht="28.7" customHeight="1">
      <c r="A60" s="307" t="s">
        <v>146</v>
      </c>
      <c r="B60" s="56">
        <f>H54</f>
        <v>90.594191646648682</v>
      </c>
      <c r="C60" s="46"/>
      <c r="D60" s="46"/>
      <c r="I60" s="2"/>
    </row>
    <row r="61" spans="1:16" s="45" customFormat="1">
      <c r="A61" s="289" t="s">
        <v>147</v>
      </c>
      <c r="B61" s="56">
        <f>B59+B60</f>
        <v>236.58953287068758</v>
      </c>
      <c r="C61" s="46"/>
      <c r="D61" s="46"/>
      <c r="I61" s="2"/>
    </row>
    <row r="62" spans="1:16" s="45" customFormat="1" ht="38.25">
      <c r="A62" s="366" t="s">
        <v>144</v>
      </c>
      <c r="B62" s="388">
        <f>IF((B59+B60)&lt;=B58,B60,B58-B59)</f>
        <v>90.594191646648682</v>
      </c>
      <c r="C62" s="46"/>
      <c r="D62" s="46"/>
      <c r="I62" s="2"/>
    </row>
  </sheetData>
  <mergeCells count="5">
    <mergeCell ref="D9:F9"/>
    <mergeCell ref="I18:I19"/>
    <mergeCell ref="J18:J23"/>
    <mergeCell ref="J31:J36"/>
    <mergeCell ref="L9:P9"/>
  </mergeCells>
  <pageMargins left="0.18" right="0.17" top="0.4" bottom="0.39" header="0.25" footer="0.28999999999999998"/>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Dashboard</vt:lpstr>
      <vt:lpstr>read me</vt:lpstr>
      <vt:lpstr>template_ODA reporting</vt:lpstr>
      <vt:lpstr>Example 1_ step 0</vt:lpstr>
      <vt:lpstr>Example 1_ case 1</vt:lpstr>
      <vt:lpstr>Example 1_ case 2</vt:lpstr>
      <vt:lpstr>Example 1_ case 3</vt:lpstr>
      <vt:lpstr>Example 1_ case 4</vt:lpstr>
      <vt:lpstr>Example 1_ case 5</vt:lpstr>
      <vt:lpstr>Example 1_ case 6</vt:lpstr>
      <vt:lpstr>Example 2_step 0</vt:lpstr>
      <vt:lpstr>Example 2_case 7</vt:lpstr>
      <vt:lpstr>Example 3_step 0</vt:lpstr>
      <vt:lpstr>Example 3_case 8</vt:lpstr>
      <vt:lpstr>Example 3_case 9</vt:lpstr>
    </vt:vector>
  </TitlesOfParts>
  <Company>DG Trésor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SUTTER Camille</dc:creator>
  <cp:lastModifiedBy>GAVEAU Valérie</cp:lastModifiedBy>
  <dcterms:created xsi:type="dcterms:W3CDTF">2020-05-11T18:47:29Z</dcterms:created>
  <dcterms:modified xsi:type="dcterms:W3CDTF">2021-04-16T09:46:59Z</dcterms:modified>
</cp:coreProperties>
</file>