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V:\TAXBEN\BACKUP\Projects\Policy-tables\2020\"/>
    </mc:Choice>
  </mc:AlternateContent>
  <xr:revisionPtr revIDLastSave="0" documentId="13_ncr:1_{EE0D0149-F979-4A23-A5CD-FCE5C127BEDA}" xr6:coauthVersionLast="47" xr6:coauthVersionMax="47" xr10:uidLastSave="{00000000-0000-0000-0000-000000000000}"/>
  <bookViews>
    <workbookView xWindow="-108" yWindow="-108" windowWidth="23256" windowHeight="12456" tabRatio="957" xr2:uid="{00000000-000D-0000-FFFF-FFFF00000000}"/>
  </bookViews>
  <sheets>
    <sheet name="README" sheetId="1" r:id="rId1"/>
    <sheet name="Unemployment Insurance" sheetId="4" r:id="rId2"/>
    <sheet name="Unemployment Assistance" sheetId="5" r:id="rId3"/>
    <sheet name="Social Assistance" sheetId="6" r:id="rId4"/>
    <sheet name="Housing Benefits" sheetId="7" r:id="rId5"/>
    <sheet name="Family provisions" sheetId="8" r:id="rId6"/>
    <sheet name="Employment-related provisions" sheetId="9" r:id="rId7"/>
    <sheet name="Tax treatment of benefits" sheetId="10" r:id="rId8"/>
    <sheet name="Average wages" sheetId="11" state="hidden" r:id="rId9"/>
    <sheet name="Sheet2" sheetId="12" state="hidden" r:id="rId10"/>
  </sheets>
  <externalReferences>
    <externalReference r:id="rId11"/>
  </externalReferences>
  <definedNames>
    <definedName name="_xlnm._FilterDatabase" localSheetId="6" hidden="1">'Employment-related provisions'!$A$7:$A$67</definedName>
    <definedName name="_xlnm._FilterDatabase" localSheetId="5" hidden="1">'Family provisions'!$B$10:$B$172</definedName>
    <definedName name="_xlnm._FilterDatabase" localSheetId="4" hidden="1">'Housing Benefits'!$A$11:$A$52</definedName>
    <definedName name="_xlnm._FilterDatabase" localSheetId="3" hidden="1">'Social Assistance'!$A$11:$A$52</definedName>
    <definedName name="_xlnm._FilterDatabase" localSheetId="7" hidden="1">'Tax treatment of benefits'!$A$16:$H$58</definedName>
    <definedName name="_xlnm._FilterDatabase" localSheetId="2" hidden="1">'Unemployment Assistance'!$A$11:$A$56</definedName>
    <definedName name="_xlnm._FilterDatabase" localSheetId="1" hidden="1">'Unemployment Insurance'!$A$11:$A$52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4" l="1"/>
  <c r="F20" i="4"/>
  <c r="T12" i="6" l="1"/>
  <c r="J135" i="8" l="1"/>
  <c r="T45" i="6" l="1"/>
  <c r="C45" i="6"/>
  <c r="I137" i="8" l="1"/>
  <c r="J136" i="8"/>
  <c r="P64" i="9" l="1"/>
  <c r="O64" i="9"/>
  <c r="L64" i="9"/>
  <c r="J64" i="9"/>
  <c r="D30" i="9"/>
  <c r="L29" i="9"/>
  <c r="G172" i="8"/>
  <c r="J171" i="8"/>
  <c r="J172" i="8" s="1"/>
  <c r="G171" i="8"/>
  <c r="G170" i="8"/>
  <c r="J169" i="8"/>
  <c r="G169" i="8"/>
  <c r="G152" i="8"/>
  <c r="J95" i="8"/>
  <c r="G95" i="8"/>
  <c r="J94" i="8"/>
  <c r="G94" i="8"/>
  <c r="G93" i="8"/>
  <c r="G92" i="8"/>
  <c r="K90" i="8"/>
  <c r="G90" i="8"/>
  <c r="K89" i="8"/>
  <c r="G37" i="8"/>
  <c r="G36" i="8"/>
  <c r="K12" i="8"/>
  <c r="K11" i="8"/>
  <c r="F28" i="5"/>
  <c r="N20" i="9" l="1"/>
  <c r="O43" i="4" l="1"/>
  <c r="B42" i="11" l="1"/>
  <c r="K167" i="8" l="1"/>
  <c r="P50" i="6"/>
  <c r="K50" i="6"/>
  <c r="J168" i="8"/>
  <c r="G167" i="8"/>
  <c r="G168" i="8"/>
  <c r="I50" i="7"/>
  <c r="L50" i="6"/>
  <c r="K168" i="8"/>
  <c r="J167" i="8"/>
  <c r="N50" i="6"/>
  <c r="M50" i="6"/>
  <c r="L50" i="4"/>
  <c r="K50" i="4"/>
  <c r="J50" i="4"/>
  <c r="B4" i="11"/>
  <c r="G13" i="8" l="1"/>
  <c r="G11" i="8"/>
  <c r="L12" i="6"/>
  <c r="K12" i="5"/>
  <c r="J12" i="8"/>
  <c r="Q12" i="6"/>
  <c r="K12" i="6"/>
  <c r="J12" i="5"/>
  <c r="G12" i="8"/>
  <c r="P12" i="6"/>
  <c r="J13" i="8"/>
  <c r="J11" i="8"/>
  <c r="I12" i="7"/>
  <c r="N12" i="6"/>
  <c r="F12" i="5"/>
  <c r="G23" i="8"/>
  <c r="B5" i="11"/>
  <c r="B6" i="11"/>
  <c r="B7" i="11"/>
  <c r="B8" i="11"/>
  <c r="B9" i="11"/>
  <c r="B10" i="11"/>
  <c r="B11" i="11"/>
  <c r="B12" i="11"/>
  <c r="B13" i="11"/>
  <c r="B14" i="11"/>
  <c r="B15" i="11"/>
  <c r="B16" i="11"/>
  <c r="B17" i="11"/>
  <c r="B18" i="11"/>
  <c r="B19" i="11"/>
  <c r="B20" i="11"/>
  <c r="B21" i="11"/>
  <c r="B22" i="11"/>
  <c r="B23" i="11"/>
  <c r="B25" i="11"/>
  <c r="B26" i="11"/>
  <c r="B27" i="11"/>
  <c r="B28" i="11"/>
  <c r="B29" i="11"/>
  <c r="B30" i="11"/>
  <c r="B31" i="11"/>
  <c r="B32" i="11"/>
  <c r="B33" i="11"/>
  <c r="B34" i="11"/>
  <c r="B35" i="11"/>
  <c r="B36" i="11"/>
  <c r="J133" i="8" s="1"/>
  <c r="B37" i="11"/>
  <c r="B38" i="11"/>
  <c r="B40" i="11"/>
  <c r="B41" i="11"/>
  <c r="B24" i="11"/>
  <c r="B43" i="11"/>
  <c r="B44" i="11"/>
  <c r="O58" i="9" l="1"/>
  <c r="L58" i="9"/>
  <c r="J103" i="8"/>
  <c r="K32" i="6"/>
  <c r="G102" i="8"/>
  <c r="L32" i="6"/>
  <c r="G103" i="8"/>
  <c r="I32" i="7"/>
  <c r="N32" i="6"/>
  <c r="M32" i="6"/>
  <c r="G104" i="8"/>
  <c r="G131" i="8"/>
  <c r="G129" i="8"/>
  <c r="G127" i="8"/>
  <c r="K37" i="6"/>
  <c r="N37" i="6"/>
  <c r="G126" i="8"/>
  <c r="M37" i="6"/>
  <c r="J129" i="8"/>
  <c r="J127" i="8"/>
  <c r="J130" i="8"/>
  <c r="J128" i="8"/>
  <c r="J126" i="8"/>
  <c r="G133" i="8"/>
  <c r="G130" i="8"/>
  <c r="G128" i="8"/>
  <c r="G132" i="8"/>
  <c r="L37" i="6"/>
  <c r="P19" i="9"/>
  <c r="P18" i="9"/>
  <c r="L17" i="9"/>
  <c r="G54" i="8"/>
  <c r="G51" i="8"/>
  <c r="N20" i="6"/>
  <c r="K20" i="5"/>
  <c r="M20" i="6"/>
  <c r="L19" i="9"/>
  <c r="G52" i="8"/>
  <c r="G49" i="8"/>
  <c r="L20" i="6"/>
  <c r="J19" i="9"/>
  <c r="G48" i="8"/>
  <c r="K20" i="6"/>
  <c r="O19" i="9"/>
  <c r="O18" i="9"/>
  <c r="G53" i="8"/>
  <c r="G50" i="8"/>
  <c r="I21" i="7"/>
  <c r="J20" i="5"/>
  <c r="L18" i="9"/>
  <c r="J18" i="9"/>
  <c r="G55" i="8"/>
  <c r="J51" i="8"/>
  <c r="P20" i="6"/>
  <c r="G165" i="8"/>
  <c r="G163" i="8"/>
  <c r="I49" i="7"/>
  <c r="K49" i="6"/>
  <c r="K163" i="8"/>
  <c r="K164" i="8" s="1"/>
  <c r="M49" i="6"/>
  <c r="G166" i="8"/>
  <c r="J163" i="8"/>
  <c r="J164" i="8" s="1"/>
  <c r="L49" i="6"/>
  <c r="G164" i="8"/>
  <c r="N49" i="6"/>
  <c r="K31" i="4"/>
  <c r="G100" i="8"/>
  <c r="K31" i="6"/>
  <c r="N31" i="6"/>
  <c r="I31" i="7"/>
  <c r="M31" i="6"/>
  <c r="G99" i="8"/>
  <c r="G98" i="8"/>
  <c r="G101" i="8"/>
  <c r="L31" i="6"/>
  <c r="K68" i="8"/>
  <c r="I24" i="7"/>
  <c r="M23" i="6"/>
  <c r="J25" i="5"/>
  <c r="L23" i="6"/>
  <c r="J24" i="5"/>
  <c r="G68" i="8"/>
  <c r="G69" i="8"/>
  <c r="N23" i="6"/>
  <c r="J23" i="5"/>
  <c r="J68" i="8"/>
  <c r="J69" i="8"/>
  <c r="K23" i="6"/>
  <c r="M23" i="5"/>
  <c r="G47" i="8"/>
  <c r="G43" i="8"/>
  <c r="N19" i="6"/>
  <c r="G45" i="8"/>
  <c r="I20" i="7"/>
  <c r="G44" i="8"/>
  <c r="G46" i="8"/>
  <c r="M19" i="6"/>
  <c r="L19" i="6"/>
  <c r="J19" i="5"/>
  <c r="H20" i="7"/>
  <c r="K19" i="6"/>
  <c r="J77" i="8"/>
  <c r="J75" i="8"/>
  <c r="J76" i="8"/>
  <c r="K25" i="6"/>
  <c r="G77" i="8"/>
  <c r="G75" i="8"/>
  <c r="L25" i="6"/>
  <c r="G78" i="8"/>
  <c r="G76" i="8"/>
  <c r="I25" i="7"/>
  <c r="G32" i="4"/>
  <c r="K32" i="4"/>
  <c r="J32" i="4"/>
  <c r="H32" i="4"/>
  <c r="G146" i="8"/>
  <c r="J146" i="8"/>
  <c r="J43" i="5"/>
  <c r="H43" i="5"/>
  <c r="H44" i="5" s="1"/>
  <c r="H45" i="5" s="1"/>
  <c r="K43" i="5"/>
  <c r="K40" i="4"/>
  <c r="J40" i="4"/>
  <c r="I40" i="7"/>
  <c r="P53" i="9"/>
  <c r="G143" i="8"/>
  <c r="G141" i="8"/>
  <c r="L53" i="9"/>
  <c r="G142" i="8"/>
  <c r="G145" i="8"/>
  <c r="K141" i="8"/>
  <c r="K145" i="8" s="1"/>
  <c r="G144" i="8"/>
  <c r="J141" i="8"/>
  <c r="J145" i="8" s="1"/>
  <c r="K153" i="8"/>
  <c r="J153" i="8"/>
  <c r="G153" i="8"/>
  <c r="P58" i="9"/>
  <c r="L45" i="6"/>
  <c r="L45" i="4"/>
  <c r="P45" i="6"/>
  <c r="K45" i="6"/>
  <c r="K45" i="4"/>
  <c r="N45" i="6"/>
  <c r="J49" i="5"/>
  <c r="G45" i="4"/>
  <c r="I45" i="7"/>
  <c r="M45" i="6"/>
  <c r="N33" i="6"/>
  <c r="M33" i="6"/>
  <c r="L33" i="6"/>
  <c r="K33" i="6"/>
  <c r="O33" i="6" s="1"/>
  <c r="G105" i="8"/>
  <c r="G107" i="8"/>
  <c r="G106" i="8"/>
  <c r="I33" i="7"/>
  <c r="K33" i="4"/>
  <c r="K24" i="4"/>
  <c r="J71" i="8"/>
  <c r="G74" i="8"/>
  <c r="G71" i="8"/>
  <c r="G73" i="8"/>
  <c r="G70" i="8"/>
  <c r="G72" i="8"/>
  <c r="J49" i="4"/>
  <c r="K49" i="4"/>
  <c r="K122" i="8"/>
  <c r="G121" i="8"/>
  <c r="G118" i="8"/>
  <c r="N36" i="6"/>
  <c r="K36" i="4"/>
  <c r="P44" i="9"/>
  <c r="G125" i="8"/>
  <c r="J122" i="8"/>
  <c r="J120" i="8"/>
  <c r="M36" i="6"/>
  <c r="D36" i="4"/>
  <c r="O44" i="9"/>
  <c r="G124" i="8"/>
  <c r="G122" i="8"/>
  <c r="G120" i="8"/>
  <c r="I36" i="7"/>
  <c r="L36" i="6"/>
  <c r="L44" i="9"/>
  <c r="G123" i="8"/>
  <c r="J121" i="8"/>
  <c r="G119" i="8"/>
  <c r="K36" i="6"/>
  <c r="N36" i="4"/>
  <c r="P29" i="6"/>
  <c r="Q29" i="6"/>
  <c r="N27" i="6"/>
  <c r="M27" i="6"/>
  <c r="O28" i="9"/>
  <c r="L28" i="9"/>
  <c r="P27" i="6"/>
  <c r="L27" i="6"/>
  <c r="K27" i="6"/>
  <c r="G87" i="8"/>
  <c r="G86" i="8"/>
  <c r="G85" i="8"/>
  <c r="G88" i="8"/>
  <c r="G84" i="8"/>
  <c r="G83" i="8"/>
  <c r="I27" i="7"/>
  <c r="K27" i="4"/>
  <c r="J52" i="4"/>
  <c r="G52" i="4"/>
  <c r="K48" i="4"/>
  <c r="J48" i="4"/>
  <c r="G162" i="8"/>
  <c r="J160" i="8"/>
  <c r="J161" i="8"/>
  <c r="G160" i="8"/>
  <c r="G161" i="8"/>
  <c r="K160" i="8"/>
  <c r="N43" i="6"/>
  <c r="M43" i="6"/>
  <c r="O56" i="9"/>
  <c r="L43" i="6"/>
  <c r="K43" i="6"/>
  <c r="K43" i="4"/>
  <c r="L56" i="9"/>
  <c r="P43" i="6"/>
  <c r="P26" i="9"/>
  <c r="J26" i="4"/>
  <c r="M26" i="6"/>
  <c r="N26" i="6" s="1"/>
  <c r="F80" i="8"/>
  <c r="G82" i="8"/>
  <c r="L27" i="9"/>
  <c r="G26" i="4"/>
  <c r="L26" i="6"/>
  <c r="G81" i="8"/>
  <c r="L26" i="9"/>
  <c r="K28" i="5"/>
  <c r="K26" i="6"/>
  <c r="J80" i="8"/>
  <c r="J81" i="8" s="1"/>
  <c r="G80" i="8"/>
  <c r="K26" i="4"/>
  <c r="J28" i="5"/>
  <c r="I26" i="7"/>
  <c r="K80" i="8"/>
  <c r="G79" i="8"/>
  <c r="O21" i="9"/>
  <c r="G64" i="8"/>
  <c r="Q22" i="6"/>
  <c r="L22" i="6"/>
  <c r="J22" i="5"/>
  <c r="F22" i="5" s="1"/>
  <c r="L22" i="4"/>
  <c r="L21" i="9"/>
  <c r="G67" i="8"/>
  <c r="G63" i="8"/>
  <c r="P22" i="6"/>
  <c r="K22" i="6"/>
  <c r="K22" i="4"/>
  <c r="G66" i="8"/>
  <c r="G62" i="8"/>
  <c r="I23" i="7"/>
  <c r="N22" i="6"/>
  <c r="D22" i="4"/>
  <c r="P21" i="9"/>
  <c r="G65" i="8"/>
  <c r="G61" i="8"/>
  <c r="M22" i="6"/>
  <c r="K22" i="5"/>
  <c r="L18" i="6"/>
  <c r="K18" i="6"/>
  <c r="N18" i="6"/>
  <c r="M18" i="6"/>
  <c r="G39" i="8"/>
  <c r="J41" i="8"/>
  <c r="J38" i="8"/>
  <c r="G42" i="8"/>
  <c r="G38" i="8"/>
  <c r="I19" i="7"/>
  <c r="K18" i="4"/>
  <c r="D18" i="4"/>
  <c r="P11" i="9"/>
  <c r="O11" i="9"/>
  <c r="L11" i="9"/>
  <c r="L14" i="6"/>
  <c r="N14" i="6"/>
  <c r="K14" i="6"/>
  <c r="P14" i="6"/>
  <c r="M14" i="6"/>
  <c r="J24" i="8"/>
  <c r="G21" i="8"/>
  <c r="G20" i="8"/>
  <c r="G33" i="8"/>
  <c r="J19" i="8"/>
  <c r="G25" i="8"/>
  <c r="J20" i="8"/>
  <c r="G19" i="8"/>
  <c r="G22" i="8"/>
  <c r="J21" i="8"/>
  <c r="K14" i="4"/>
  <c r="J14" i="4"/>
  <c r="H14" i="4"/>
  <c r="L10" i="9"/>
  <c r="G37" i="4"/>
  <c r="K37" i="4"/>
  <c r="J37" i="4"/>
  <c r="H37" i="4"/>
  <c r="K28" i="4"/>
  <c r="I28" i="7"/>
  <c r="G28" i="4"/>
  <c r="D20" i="4"/>
  <c r="L20" i="4"/>
  <c r="J20" i="4"/>
  <c r="G20" i="4"/>
  <c r="K44" i="4"/>
  <c r="J44" i="4"/>
  <c r="G23" i="4"/>
  <c r="K23" i="4"/>
  <c r="J23" i="4"/>
  <c r="K19" i="4"/>
  <c r="J19" i="4"/>
  <c r="L12" i="9"/>
  <c r="P12" i="9"/>
  <c r="O12" i="9"/>
  <c r="J12" i="9"/>
  <c r="M15" i="6"/>
  <c r="K15" i="6"/>
  <c r="N15" i="6"/>
  <c r="L15" i="6"/>
  <c r="J33" i="8"/>
  <c r="G32" i="8"/>
  <c r="J28" i="8"/>
  <c r="G30" i="8"/>
  <c r="G28" i="8"/>
  <c r="G31" i="8"/>
  <c r="G29" i="8"/>
  <c r="G26" i="8"/>
  <c r="J30" i="8"/>
  <c r="J31" i="8" s="1"/>
  <c r="J26" i="8"/>
  <c r="K15" i="4"/>
  <c r="L13" i="9"/>
  <c r="J29" i="8"/>
  <c r="J27" i="8"/>
  <c r="G27" i="8"/>
  <c r="L50" i="9"/>
  <c r="J48" i="9"/>
  <c r="J49" i="9" s="1"/>
  <c r="G138" i="8"/>
  <c r="N39" i="6"/>
  <c r="J50" i="9"/>
  <c r="J51" i="9" s="1"/>
  <c r="G140" i="8"/>
  <c r="I39" i="7"/>
  <c r="M39" i="6"/>
  <c r="P51" i="9"/>
  <c r="L49" i="9"/>
  <c r="G139" i="8"/>
  <c r="L39" i="6"/>
  <c r="K39" i="4"/>
  <c r="L51" i="9"/>
  <c r="P48" i="9"/>
  <c r="F139" i="8"/>
  <c r="K39" i="6"/>
  <c r="J51" i="7"/>
  <c r="I51" i="7"/>
  <c r="O51" i="6"/>
  <c r="G51" i="4"/>
  <c r="O59" i="9"/>
  <c r="P46" i="6"/>
  <c r="K46" i="6"/>
  <c r="P59" i="9"/>
  <c r="N46" i="6"/>
  <c r="L59" i="9"/>
  <c r="M46" i="6"/>
  <c r="L46" i="6"/>
  <c r="G156" i="8"/>
  <c r="G154" i="8"/>
  <c r="G157" i="8"/>
  <c r="J155" i="8"/>
  <c r="G155" i="8"/>
  <c r="K46" i="4"/>
  <c r="J46" i="4"/>
  <c r="J46" i="7"/>
  <c r="P55" i="9"/>
  <c r="M42" i="6"/>
  <c r="N42" i="6"/>
  <c r="O55" i="9"/>
  <c r="L42" i="6"/>
  <c r="L55" i="9"/>
  <c r="K42" i="6"/>
  <c r="G150" i="8"/>
  <c r="G147" i="8"/>
  <c r="I42" i="7"/>
  <c r="J46" i="5"/>
  <c r="K42" i="4"/>
  <c r="H40" i="5"/>
  <c r="K136" i="8"/>
  <c r="G134" i="8"/>
  <c r="G136" i="8"/>
  <c r="G135" i="8"/>
  <c r="J40" i="5"/>
  <c r="G137" i="8"/>
  <c r="K134" i="8"/>
  <c r="K38" i="6"/>
  <c r="K38" i="4"/>
  <c r="L40" i="9"/>
  <c r="M34" i="6"/>
  <c r="J40" i="9"/>
  <c r="L34" i="6"/>
  <c r="N34" i="6"/>
  <c r="K34" i="6"/>
  <c r="P40" i="9"/>
  <c r="G113" i="8"/>
  <c r="G110" i="8"/>
  <c r="G112" i="8"/>
  <c r="G109" i="8"/>
  <c r="G111" i="8"/>
  <c r="F113" i="8"/>
  <c r="J110" i="8"/>
  <c r="I34" i="7"/>
  <c r="J34" i="4"/>
  <c r="K34" i="4"/>
  <c r="I29" i="7"/>
  <c r="K29" i="4"/>
  <c r="J29" i="4"/>
  <c r="H25" i="4"/>
  <c r="G25" i="4"/>
  <c r="K25" i="4"/>
  <c r="J25" i="4"/>
  <c r="L20" i="9"/>
  <c r="O20" i="9"/>
  <c r="M21" i="6"/>
  <c r="P20" i="9"/>
  <c r="N21" i="6"/>
  <c r="L21" i="6"/>
  <c r="K21" i="6"/>
  <c r="G57" i="8"/>
  <c r="G56" i="8"/>
  <c r="G58" i="8"/>
  <c r="G60" i="8"/>
  <c r="G59" i="8"/>
  <c r="K21" i="4"/>
  <c r="J21" i="5"/>
  <c r="J21" i="4"/>
  <c r="K17" i="4"/>
  <c r="G40" i="8"/>
  <c r="G41" i="8"/>
  <c r="G18" i="8"/>
  <c r="J14" i="8"/>
  <c r="L13" i="6"/>
  <c r="G17" i="8"/>
  <c r="G14" i="8"/>
  <c r="K13" i="6"/>
  <c r="K13" i="5"/>
  <c r="L9" i="9"/>
  <c r="G16" i="8"/>
  <c r="N13" i="6"/>
  <c r="L13" i="4"/>
  <c r="G15" i="8"/>
  <c r="M13" i="6"/>
  <c r="C13" i="4"/>
  <c r="K13" i="4"/>
  <c r="G24" i="8"/>
  <c r="P28" i="9"/>
  <c r="G149" i="8"/>
  <c r="G151" i="8"/>
  <c r="J154" i="8"/>
  <c r="J157" i="8"/>
  <c r="N46" i="4"/>
  <c r="J42" i="4"/>
  <c r="G148" i="8"/>
  <c r="J45" i="5" l="1"/>
  <c r="J44" i="5"/>
  <c r="K45" i="5"/>
  <c r="K44" i="5"/>
  <c r="L38" i="6"/>
  <c r="M38" i="6"/>
  <c r="N38" i="6" s="1"/>
  <c r="J111" i="8"/>
  <c r="J1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Duncan</author>
  </authors>
  <commentList>
    <comment ref="D7" authorId="0" shapeId="0" xr:uid="{00000000-0006-0000-0100-000001000000}">
      <text>
        <r>
          <rPr>
            <b/>
            <sz val="9"/>
            <color indexed="81"/>
            <rFont val="Tahoma"/>
            <family val="2"/>
          </rPr>
          <t xml:space="preserve">OECD: 
</t>
        </r>
        <r>
          <rPr>
            <sz val="9"/>
            <color indexed="81"/>
            <rFont val="Tahoma"/>
            <family val="2"/>
          </rPr>
          <t>This column lists the minimum requirements in terms of previous employment, contributions, hours of work, and earnings in order to be eligible to any benefit. The amount/duration of this benefit may be lower than the “standard” amount/duration in the country.</t>
        </r>
      </text>
    </comment>
  </commentList>
</comments>
</file>

<file path=xl/sharedStrings.xml><?xml version="1.0" encoding="utf-8"?>
<sst xmlns="http://schemas.openxmlformats.org/spreadsheetml/2006/main" count="4311" uniqueCount="1450">
  <si>
    <t>General notes:</t>
  </si>
  <si>
    <t>1. The following tables give an overview of countries' benefit (and tax systems where applicable) systems. The information is based on the OECD's tax-benefit simulation models (see link below).</t>
  </si>
  <si>
    <t>5. Some benefits or provisions will show in two tables:</t>
  </si>
  <si>
    <t>Example 1:</t>
  </si>
  <si>
    <t>Example 2:</t>
  </si>
  <si>
    <t>Source:</t>
  </si>
  <si>
    <t>http://www.oecd.org/els/soc/benefits-and-wages.htm</t>
  </si>
  <si>
    <t>Unemployment insurance benefits</t>
  </si>
  <si>
    <t>qual table</t>
  </si>
  <si>
    <t>quant  table</t>
  </si>
  <si>
    <t>Source lookup value:</t>
  </si>
  <si>
    <t>PT_UI_name</t>
  </si>
  <si>
    <t>PT_UI_contribution_type</t>
  </si>
  <si>
    <t>PT_UI_empl_contr_condition</t>
  </si>
  <si>
    <t>PT_UI_waiting</t>
  </si>
  <si>
    <t>PT_UI_max_duration</t>
  </si>
  <si>
    <t>PT_UI_perc_rate_initial</t>
  </si>
  <si>
    <t>PT_UI_perc_rate_final</t>
  </si>
  <si>
    <t>PT_UI_reference_earnings</t>
  </si>
  <si>
    <t>PT_UI_benefit_floor_AW</t>
  </si>
  <si>
    <t>PT_UI_benefit_ceiling_AW</t>
  </si>
  <si>
    <t>PT_UI_empl_disreg</t>
  </si>
  <si>
    <t>PT_UI_var_age</t>
  </si>
  <si>
    <t>PT_UI_var_family</t>
  </si>
  <si>
    <t>PT_UI_var_other</t>
  </si>
  <si>
    <t>Programme name, national language</t>
  </si>
  <si>
    <t xml:space="preserve">Insurance is voluntary (V) or automatic / compulsory (C) </t>
  </si>
  <si>
    <t>Waiting period (days)</t>
  </si>
  <si>
    <t>Maximum duration (months)</t>
  </si>
  <si>
    <t>Benefit Calculation</t>
  </si>
  <si>
    <t>Initial benefit, % of reference earnings</t>
  </si>
  <si>
    <t>Final benefit (end of entitlement period), % of reference earnings</t>
  </si>
  <si>
    <r>
      <t>Benefit floor</t>
    </r>
    <r>
      <rPr>
        <vertAlign val="superscript"/>
        <sz val="10"/>
        <rFont val="Arial"/>
        <family val="2"/>
      </rPr>
      <t>(3)</t>
    </r>
  </si>
  <si>
    <r>
      <t>Benefit ceiling</t>
    </r>
    <r>
      <rPr>
        <vertAlign val="superscript"/>
        <sz val="10"/>
        <rFont val="Arial"/>
        <family val="2"/>
      </rPr>
      <t>(3)</t>
    </r>
  </si>
  <si>
    <t>Cumulation of earnings and benefits: permitted employment and mechanisms for reducing entitlements</t>
  </si>
  <si>
    <t>% of AW</t>
  </si>
  <si>
    <t>age</t>
  </si>
  <si>
    <t>family situation</t>
  </si>
  <si>
    <t>other</t>
  </si>
  <si>
    <t>[1]</t>
  </si>
  <si>
    <t>[2]</t>
  </si>
  <si>
    <t>[3]</t>
  </si>
  <si>
    <t>[4]</t>
  </si>
  <si>
    <t>[5]</t>
  </si>
  <si>
    <t>[6]</t>
  </si>
  <si>
    <t>[7]</t>
  </si>
  <si>
    <t>[8]</t>
  </si>
  <si>
    <t>[9]</t>
  </si>
  <si>
    <t>[10]</t>
  </si>
  <si>
    <t>[11]</t>
  </si>
  <si>
    <t>[12]</t>
  </si>
  <si>
    <t>[13]</t>
  </si>
  <si>
    <t>[14]</t>
  </si>
  <si>
    <t>OECD countries</t>
  </si>
  <si>
    <t>Austria</t>
  </si>
  <si>
    <r>
      <t>Belgium</t>
    </r>
    <r>
      <rPr>
        <vertAlign val="superscript"/>
        <sz val="9"/>
        <rFont val="Arial"/>
        <family val="2"/>
      </rPr>
      <t>(4)</t>
    </r>
  </si>
  <si>
    <t>Chile</t>
  </si>
  <si>
    <t>Czech Republic</t>
  </si>
  <si>
    <t>Denmark</t>
  </si>
  <si>
    <t>Estonia</t>
  </si>
  <si>
    <t>Finland</t>
  </si>
  <si>
    <t>France</t>
  </si>
  <si>
    <t>Germany</t>
  </si>
  <si>
    <t>Greece</t>
  </si>
  <si>
    <t>Hungary</t>
  </si>
  <si>
    <t>Iceland</t>
  </si>
  <si>
    <t>Ireland</t>
  </si>
  <si>
    <t>Israel</t>
  </si>
  <si>
    <t>Italy</t>
  </si>
  <si>
    <t>Japan</t>
  </si>
  <si>
    <t>Korea</t>
  </si>
  <si>
    <t>Luxembourg</t>
  </si>
  <si>
    <t>Netherlands</t>
  </si>
  <si>
    <t>Norway</t>
  </si>
  <si>
    <t>Portugal</t>
  </si>
  <si>
    <t>Slovak Republic</t>
  </si>
  <si>
    <t>Slovenia</t>
  </si>
  <si>
    <t>Spain</t>
  </si>
  <si>
    <t>Sweden</t>
  </si>
  <si>
    <t>Switzerland</t>
  </si>
  <si>
    <t>Turkey</t>
  </si>
  <si>
    <t>United Kingdom</t>
  </si>
  <si>
    <t>Additional EU countries</t>
  </si>
  <si>
    <t>Bulgaria</t>
  </si>
  <si>
    <t>Croatia</t>
  </si>
  <si>
    <t>Latvia</t>
  </si>
  <si>
    <t>Lithuania</t>
  </si>
  <si>
    <t>Romania</t>
  </si>
  <si>
    <t>Notes:</t>
  </si>
  <si>
    <t>1. "n.a." equals not applicable, "..." equals no information available.</t>
  </si>
  <si>
    <t>2.  Gross = gross employment income; SSC = (employee) social security contributions; Net = Gross minus income taxes minus SSC.</t>
  </si>
  <si>
    <r>
      <t>Source:</t>
    </r>
    <r>
      <rPr>
        <sz val="9"/>
        <rFont val="Arial"/>
        <family val="2"/>
      </rPr>
      <t xml:space="preserve"> OECD.</t>
    </r>
  </si>
  <si>
    <t>Arbeitslosengeld</t>
  </si>
  <si>
    <t>E + C: 1 out of last 2 years; 28 weeks in case of repeated unemployment</t>
  </si>
  <si>
    <t>Net</t>
  </si>
  <si>
    <t>n.a.</t>
  </si>
  <si>
    <t>Assurance chômage</t>
  </si>
  <si>
    <t>C</t>
  </si>
  <si>
    <t>Unlimited</t>
  </si>
  <si>
    <t>Until month 3 (1st period - phase 1): 65%</t>
  </si>
  <si>
    <t>Gross</t>
  </si>
  <si>
    <t>Special UI regimes for young graduates and older unemployed (allocations d'insertions, stage d'insertions professionelle; Prépension (CCT))</t>
  </si>
  <si>
    <t>Employment Insurance</t>
  </si>
  <si>
    <t>None</t>
  </si>
  <si>
    <t>…</t>
  </si>
  <si>
    <t>E + C: 12 months in 2 years</t>
  </si>
  <si>
    <t>Until month 2: 65%</t>
  </si>
  <si>
    <t>From month 5: 45%</t>
  </si>
  <si>
    <t>V</t>
  </si>
  <si>
    <t>Gross less 8% SSC</t>
  </si>
  <si>
    <t>Töötuskindlustushüvitis</t>
  </si>
  <si>
    <t>Until day 100: 50%</t>
  </si>
  <si>
    <t>From day 101: 40%</t>
  </si>
  <si>
    <t>None permitted</t>
  </si>
  <si>
    <t>57% - 75%</t>
  </si>
  <si>
    <t>E + C: 125 days in last 14 months or 200 days in last two years and for first time unemployed 80 days per year in the last two years</t>
  </si>
  <si>
    <t>Álláskeresési járadék</t>
  </si>
  <si>
    <t>E + C: 360 days in previous 3 years</t>
  </si>
  <si>
    <t>Atvinnuleysisdagpeningar</t>
  </si>
  <si>
    <t>Jobseeker's benefit</t>
  </si>
  <si>
    <t>C: 104 weekly contributions paid since starting work and 39 of those during the year preceding the benefit year, or 26 weekly contributions paid in each of the two relevant tax years preceding the benefit year</t>
  </si>
  <si>
    <t>דמי אבטלה (יומיים)</t>
  </si>
  <si>
    <t>E + C: 12 in 18 preceeding months</t>
  </si>
  <si>
    <t>No</t>
  </si>
  <si>
    <t>E + C: 26 weeks out of last 12 months</t>
  </si>
  <si>
    <t>E + C for short-term benefit: 26 weeks in last 36 weeks
E + C for medium-term benefit: 26 weeks in last 36 weeks and 4 out of 5 last years</t>
  </si>
  <si>
    <t>Until month 2: 75%</t>
  </si>
  <si>
    <t>From month 3: 70%</t>
  </si>
  <si>
    <t>3 days (registered as unemployed out of last 15 work days)</t>
  </si>
  <si>
    <t>E + C: 360 days in last 24 months</t>
  </si>
  <si>
    <t>C: 360 days in 6 preceding years</t>
  </si>
  <si>
    <t>G: + minimum and maximum benefit more generous for families with children</t>
  </si>
  <si>
    <t>Benefit reduced in proportion to days worked</t>
  </si>
  <si>
    <t>E + C: 12 out of last 24 months</t>
  </si>
  <si>
    <t>E + C: 600 days out of last 36 months, continuously in last 120 days</t>
  </si>
  <si>
    <t>Jobseeker's Allowance (contribution based)</t>
  </si>
  <si>
    <t>--</t>
  </si>
  <si>
    <t>E + C: 50 weeks of which 20 in the last two years</t>
  </si>
  <si>
    <t>E + C: 12 in last 24 months</t>
  </si>
  <si>
    <t>Source: OECD.</t>
  </si>
  <si>
    <t>Podpora v nezaměstnanosti</t>
  </si>
  <si>
    <t>C: basic benefit;
V: earnings-related benefit</t>
  </si>
  <si>
    <t>For occasional employment (&lt;3 days at a time) benefit is reduced in proportion to the number of hours worked</t>
  </si>
  <si>
    <t>雇用保険・基本手当</t>
  </si>
  <si>
    <t xml:space="preserve">Subisdio de desemprego </t>
  </si>
  <si>
    <t>Until month 3: 80%</t>
  </si>
  <si>
    <t>From month 4: 60%</t>
  </si>
  <si>
    <t>Until month 6: 70%</t>
  </si>
  <si>
    <t>From month 7: 50%</t>
  </si>
  <si>
    <t>Benefit reduced in proportion to hours worked</t>
  </si>
  <si>
    <t xml:space="preserve">Benefit entitlement equal to relevant percentage of difference between reference earnings and current earnings, thus for an individual without children benefits are reduced by 70% of earnings. </t>
  </si>
  <si>
    <t>İşsizlik Ödeneği</t>
  </si>
  <si>
    <t>E: 20 weeks (plus minimum earnings requirement)</t>
  </si>
  <si>
    <t>Gross "high quarter earnings" (highest quarterly earnings in the last four completed quarters other than the most recent one)</t>
  </si>
  <si>
    <t>Фонд "Бeзработица" - Обезщетение за безработица</t>
  </si>
  <si>
    <t>novčana naknada za vrijeme nezaposlenosti</t>
  </si>
  <si>
    <t>Bezdarbnieka pabalsts</t>
  </si>
  <si>
    <t>Indemnizatia de somaj</t>
  </si>
  <si>
    <r>
      <rPr>
        <i/>
        <sz val="9"/>
        <rFont val="Arial"/>
        <family val="2"/>
      </rPr>
      <t>Allocation d'aide au retour à l'emploi</t>
    </r>
    <r>
      <rPr>
        <sz val="9"/>
        <rFont val="Arial"/>
        <family val="2"/>
      </rPr>
      <t xml:space="preserve"> (ARE)</t>
    </r>
  </si>
  <si>
    <r>
      <rPr>
        <i/>
        <sz val="9"/>
        <rFont val="Arial"/>
        <family val="2"/>
      </rPr>
      <t>Arbeitslosengeld</t>
    </r>
    <r>
      <rPr>
        <sz val="9"/>
        <rFont val="Arial"/>
        <family val="2"/>
      </rPr>
      <t xml:space="preserve"> (ALG I)</t>
    </r>
  </si>
  <si>
    <t>PT_UA_name</t>
  </si>
  <si>
    <t>PT_UA_empl_contr_condition</t>
  </si>
  <si>
    <t>PT_UA_waiting</t>
  </si>
  <si>
    <t>PT_UA_max_duration</t>
  </si>
  <si>
    <t>PT_UA_perc_rate_initial</t>
  </si>
  <si>
    <t>PT_UA_perc_rate_final</t>
  </si>
  <si>
    <t>PT_UA_reference_earnings</t>
  </si>
  <si>
    <t>PT_UA_benefit_floor_AW</t>
  </si>
  <si>
    <t>PT_UA_benefit_ceiling_AW</t>
  </si>
  <si>
    <t>PT_UA_empl_disreg</t>
  </si>
  <si>
    <t>PT_UA_var_age</t>
  </si>
  <si>
    <t>PT_UA_var_family</t>
  </si>
  <si>
    <t>PT_UA_var_other</t>
  </si>
  <si>
    <t>Program name in local language</t>
  </si>
  <si>
    <t>Employment record (E) and contribution (C) conditions and relationship to unemployment insurance benefits (UI)</t>
  </si>
  <si>
    <t xml:space="preserve">Benefit provision (eligibility (E), generosity (G)) varies with </t>
  </si>
  <si>
    <t>initial benefit as % of calculation base</t>
  </si>
  <si>
    <t>benefit at the end of legal entitlement period in % of calculation base</t>
  </si>
  <si>
    <r>
      <t>Australia</t>
    </r>
    <r>
      <rPr>
        <vertAlign val="superscript"/>
        <sz val="9"/>
        <rFont val="Arial"/>
        <family val="2"/>
      </rPr>
      <t>(4)</t>
    </r>
  </si>
  <si>
    <t>No limit</t>
  </si>
  <si>
    <t>Töötutoetus</t>
  </si>
  <si>
    <t>270 days (including time on unemployment insurance benefit)</t>
  </si>
  <si>
    <t>Työmarkkinatuki</t>
  </si>
  <si>
    <t>E: 5 out of 10 years prior to start of current unemployment spell</t>
  </si>
  <si>
    <r>
      <t>Germany</t>
    </r>
    <r>
      <rPr>
        <vertAlign val="superscript"/>
        <sz val="9"/>
        <rFont val="Arial"/>
        <family val="2"/>
      </rPr>
      <t>(5)</t>
    </r>
  </si>
  <si>
    <t>Jobseeker's allowance</t>
  </si>
  <si>
    <t>UI: not qualify for UI or UI claim exhausted</t>
  </si>
  <si>
    <t>New Zealand</t>
  </si>
  <si>
    <t xml:space="preserve">G: + longer benefit duration for those aged 52 or over at the start of the period of unemployment. </t>
  </si>
  <si>
    <t>G: - benefit proportionally lower for formerly part-time employed</t>
  </si>
  <si>
    <t>Unemployment Assistance benefits</t>
  </si>
  <si>
    <r>
      <rPr>
        <i/>
        <sz val="9"/>
        <rFont val="Arial"/>
        <family val="2"/>
      </rPr>
      <t>Allocation de solidarité spécifique</t>
    </r>
    <r>
      <rPr>
        <sz val="9"/>
        <rFont val="Arial"/>
        <family val="2"/>
      </rPr>
      <t xml:space="preserve"> (ASS)</t>
    </r>
  </si>
  <si>
    <t>Malta</t>
  </si>
  <si>
    <t>2. Gross = gross employment income; SSC = (employee) social security contributions; Net = Gross minus income taxes minus SSC.</t>
  </si>
  <si>
    <t>3. All amounts are shown on an annualised basis. "--" indicates that there is no such provision. AW = Average Wage of a full-time private sector employee.</t>
  </si>
  <si>
    <t>1. "n.a.": not applicable, "...": information not available.</t>
  </si>
  <si>
    <t>Social Assistance benefits</t>
  </si>
  <si>
    <t>TB outputs</t>
  </si>
  <si>
    <t>PT_SA_name</t>
  </si>
  <si>
    <t>PT_SA_age</t>
  </si>
  <si>
    <t>PT_SA_cond_job_search</t>
  </si>
  <si>
    <t>PT_SA_cond_register</t>
  </si>
  <si>
    <t>PT_SA_cond_participation</t>
  </si>
  <si>
    <t>PT_SA_cond_work</t>
  </si>
  <si>
    <t>PT_SA_cond_other</t>
  </si>
  <si>
    <t>PT_SA_cond_family</t>
  </si>
  <si>
    <t>PT_SA_level</t>
  </si>
  <si>
    <t>PT_SA_other</t>
  </si>
  <si>
    <t>PT_SA_means_test_earnings</t>
  </si>
  <si>
    <t>PT_SA_means_test_earnings_withdrawal</t>
  </si>
  <si>
    <t>PT_SA_means_test_assets</t>
  </si>
  <si>
    <t>PT_SA_means_test_other_ben</t>
  </si>
  <si>
    <t>PT_SA_var_age</t>
  </si>
  <si>
    <t>PT_SA_var_contract</t>
  </si>
  <si>
    <t>Minimum age condition for social assistance receipt</t>
  </si>
  <si>
    <t>Calculation of social assistance benefit:</t>
  </si>
  <si>
    <t>Means-test for social assistance</t>
  </si>
  <si>
    <r>
      <t>Registration as unemployed</t>
    </r>
    <r>
      <rPr>
        <vertAlign val="superscript"/>
        <sz val="9"/>
        <rFont val="Arial"/>
        <family val="2"/>
      </rPr>
      <t>(2)</t>
    </r>
  </si>
  <si>
    <t>Participation in integration measures</t>
  </si>
  <si>
    <r>
      <t>Active job search</t>
    </r>
    <r>
      <rPr>
        <vertAlign val="superscript"/>
        <sz val="9"/>
        <rFont val="Arial"/>
        <family val="2"/>
      </rPr>
      <t>(2)</t>
    </r>
  </si>
  <si>
    <r>
      <t>Work requirement</t>
    </r>
    <r>
      <rPr>
        <vertAlign val="superscript"/>
        <sz val="9"/>
        <rFont val="Arial"/>
        <family val="2"/>
      </rPr>
      <t>(2)</t>
    </r>
  </si>
  <si>
    <t>Other conditions for receipt of benefit (including requirements for conditional cash transfers (CCT))</t>
  </si>
  <si>
    <t>Legal behavioural requirements for adult family members other than the benefit claimant</t>
  </si>
  <si>
    <t>Single</t>
  </si>
  <si>
    <t>Spouse/ partner</t>
  </si>
  <si>
    <t>Per child</t>
  </si>
  <si>
    <t>Child-related payments to lone parent of (per child)</t>
  </si>
  <si>
    <t>Other supplements to basic benefit (per family)</t>
  </si>
  <si>
    <t>Earnings disregards</t>
  </si>
  <si>
    <t>Benefit withdrawal rate with regard to earned income</t>
  </si>
  <si>
    <t>Assets included in means test?</t>
  </si>
  <si>
    <t>Other benefits included in the means test</t>
  </si>
  <si>
    <t>over time</t>
  </si>
  <si>
    <t>[16]</t>
  </si>
  <si>
    <t>[17]</t>
  </si>
  <si>
    <t>[18]</t>
  </si>
  <si>
    <t>[19]</t>
  </si>
  <si>
    <t>[20]</t>
  </si>
  <si>
    <t>[21]</t>
  </si>
  <si>
    <t>[22]</t>
  </si>
  <si>
    <t>Belgium</t>
  </si>
  <si>
    <t>Czech 
Republic</t>
  </si>
  <si>
    <t xml:space="preserve">France </t>
  </si>
  <si>
    <r>
      <t>New Zealand</t>
    </r>
    <r>
      <rPr>
        <vertAlign val="superscript"/>
        <sz val="9"/>
        <rFont val="Arial"/>
        <family val="2"/>
      </rPr>
      <t>(4)</t>
    </r>
  </si>
  <si>
    <t>Poland</t>
  </si>
  <si>
    <t>Slovak 
Republic</t>
  </si>
  <si>
    <r>
      <rPr>
        <i/>
        <sz val="9"/>
        <rFont val="Arial"/>
        <family val="2"/>
      </rPr>
      <t>Newstart Allowance</t>
    </r>
    <r>
      <rPr>
        <sz val="9"/>
        <rFont val="Arial"/>
        <family val="2"/>
      </rPr>
      <t xml:space="preserve"> (NSA), </t>
    </r>
    <r>
      <rPr>
        <i/>
        <sz val="9"/>
        <rFont val="Arial"/>
        <family val="2"/>
      </rPr>
      <t>Youth Allowance</t>
    </r>
    <r>
      <rPr>
        <sz val="9"/>
        <rFont val="Arial"/>
        <family val="2"/>
      </rPr>
      <t xml:space="preserve"> (YA), </t>
    </r>
    <r>
      <rPr>
        <i/>
        <sz val="9"/>
        <rFont val="Arial"/>
        <family val="2"/>
      </rPr>
      <t>Parenting Payment</t>
    </r>
    <r>
      <rPr>
        <sz val="9"/>
        <rFont val="Arial"/>
        <family val="2"/>
      </rPr>
      <t xml:space="preserve"> (couple) with one member caring for a child under six similar to NSA</t>
    </r>
  </si>
  <si>
    <t>Newstart Allowance (NSA) if 22 or older, Youth Allowance (YA) if under 22</t>
  </si>
  <si>
    <t>Yes</t>
  </si>
  <si>
    <t>National</t>
  </si>
  <si>
    <t>Job search requirement</t>
  </si>
  <si>
    <t>All other benefits</t>
  </si>
  <si>
    <t>At discretion of Public Centre for Social Assistance (PCSA)</t>
  </si>
  <si>
    <t>Ontario Works</t>
  </si>
  <si>
    <t>Unemployment benefit including family supplements</t>
  </si>
  <si>
    <t>If requested have to take up short-term employment, participate in public works or public works service</t>
  </si>
  <si>
    <t>Work availablility and job search requirements apply to all members of the household</t>
  </si>
  <si>
    <t xml:space="preserve">Family benefits and 80% of unemployment benefits </t>
  </si>
  <si>
    <t>Kontanthjælp</t>
  </si>
  <si>
    <t>Unemployment benefits</t>
  </si>
  <si>
    <t>Discretionary</t>
  </si>
  <si>
    <t>Toimeentulotuki</t>
  </si>
  <si>
    <t>Christmas bonus</t>
  </si>
  <si>
    <t>Foglalkoztatást helyettesítő támogatás</t>
  </si>
  <si>
    <t>All other except for housing</t>
  </si>
  <si>
    <t>Employment test also applies to claimant's spouse</t>
  </si>
  <si>
    <t>Unemployment insurance</t>
  </si>
  <si>
    <t>生活保護・生活扶助</t>
  </si>
  <si>
    <t xml:space="preserve">No </t>
  </si>
  <si>
    <t>All except family and individual housing benefits</t>
  </si>
  <si>
    <t>Conditions may be set discretionarily</t>
  </si>
  <si>
    <t>Zasiłek okresowy</t>
  </si>
  <si>
    <t>Housing and heating allowance at discretion of Social assistance centres</t>
  </si>
  <si>
    <t>Rendimento social de inserção</t>
  </si>
  <si>
    <t>Unemployment benefit</t>
  </si>
  <si>
    <t>Denarna socialna pomoč</t>
  </si>
  <si>
    <t xml:space="preserve">Ekonomiskt bistånd </t>
  </si>
  <si>
    <t>Rent fully covered</t>
  </si>
  <si>
    <t>Housing costs, allowance for basic medical costs</t>
  </si>
  <si>
    <t>Unemployment insurance and family benefits</t>
  </si>
  <si>
    <r>
      <rPr>
        <i/>
        <sz val="9"/>
        <rFont val="Arial"/>
        <family val="2"/>
      </rPr>
      <t>Supplemental Nutrition Assistance Program</t>
    </r>
    <r>
      <rPr>
        <sz val="9"/>
        <rFont val="Arial"/>
        <family val="2"/>
      </rPr>
      <t xml:space="preserve"> (SNAP)</t>
    </r>
  </si>
  <si>
    <t>Социално подпомагане - Месечни социални помощи</t>
  </si>
  <si>
    <t>Social assistance for heating</t>
  </si>
  <si>
    <t>G: + six month waiting period before support received</t>
  </si>
  <si>
    <t>Schema privind venitul minim garantat: ajutorul social pentru asigurarea venitului minim garantat</t>
  </si>
  <si>
    <t>All</t>
  </si>
  <si>
    <t>G: + benefit increased by 15% if at least one family member employed.</t>
  </si>
  <si>
    <r>
      <t>Amounts (in % of AW)</t>
    </r>
    <r>
      <rPr>
        <vertAlign val="superscript"/>
        <sz val="9"/>
        <rFont val="Arial"/>
        <family val="2"/>
      </rPr>
      <t>(3)</t>
    </r>
  </si>
  <si>
    <t>2. Conditions for healthy working-age inviduals.</t>
  </si>
  <si>
    <t>4. AUS and NZL: Low-income individuals actively looking for work typically receive means-tested unemployment assistance benefits (UA) of unlimited duration, also see the descriptions in the table on unemployment assistance.</t>
  </si>
  <si>
    <r>
      <t>Cash housing benefits for rented accomodation</t>
    </r>
    <r>
      <rPr>
        <b/>
        <vertAlign val="superscript"/>
        <sz val="14"/>
        <rFont val="Arial"/>
        <family val="2"/>
      </rPr>
      <t>(1)</t>
    </r>
  </si>
  <si>
    <t>PT_HB_name</t>
  </si>
  <si>
    <t>PT_HB_var_household_size</t>
  </si>
  <si>
    <t>PT_HB_var_income</t>
  </si>
  <si>
    <t>PT_HB_var_house_size</t>
  </si>
  <si>
    <t>PT_HB_var_geo</t>
  </si>
  <si>
    <t>PT_HB_var_rental_cost</t>
  </si>
  <si>
    <t>PT_HB_description</t>
  </si>
  <si>
    <t>PT_HB_max_AW</t>
  </si>
  <si>
    <t>PT_HB_other</t>
  </si>
  <si>
    <t>Regular housing benefits</t>
  </si>
  <si>
    <t>Housing related support through other benefits</t>
  </si>
  <si>
    <t>Entitlement depends on</t>
  </si>
  <si>
    <t>Household type/size</t>
  </si>
  <si>
    <t>Income</t>
  </si>
  <si>
    <t>Dwelling size</t>
  </si>
  <si>
    <t>Geographic location</t>
  </si>
  <si>
    <t>Actual rental cost</t>
  </si>
  <si>
    <r>
      <t>Maximum benefit amount 
in % of AW</t>
    </r>
    <r>
      <rPr>
        <vertAlign val="superscript"/>
        <sz val="9"/>
        <rFont val="Arial"/>
        <family val="2"/>
      </rPr>
      <t>(3)</t>
    </r>
  </si>
  <si>
    <t>Australia</t>
  </si>
  <si>
    <t>Canada</t>
  </si>
  <si>
    <t>No general scheme.</t>
  </si>
  <si>
    <t>Rules and payment rates determined provincially. A shelter allowance is included in the Ontario Works programme (SA) and amounts are determined by household size, income and location.</t>
  </si>
  <si>
    <r>
      <t>Hungary</t>
    </r>
    <r>
      <rPr>
        <vertAlign val="superscript"/>
        <sz val="9"/>
        <rFont val="Arial"/>
        <family val="2"/>
      </rPr>
      <t>(8)</t>
    </r>
  </si>
  <si>
    <r>
      <t>Israel</t>
    </r>
    <r>
      <rPr>
        <vertAlign val="superscript"/>
        <sz val="9"/>
        <rFont val="Arial"/>
        <family val="2"/>
      </rPr>
      <t>(6)</t>
    </r>
  </si>
  <si>
    <t>Norway (Oslo)</t>
  </si>
  <si>
    <t>United States</t>
  </si>
  <si>
    <t>No general housing benefit</t>
  </si>
  <si>
    <t>No housing benefit in the form of rent subsidy but support for purchasing/building the first home</t>
  </si>
  <si>
    <t>Boligsikring</t>
  </si>
  <si>
    <r>
      <t>Housing benefit provided through subsistence benefit  (</t>
    </r>
    <r>
      <rPr>
        <i/>
        <sz val="9"/>
        <rFont val="Arial"/>
        <family val="2"/>
      </rPr>
      <t>toimetulekutoetus</t>
    </r>
    <r>
      <rPr>
        <sz val="9"/>
        <rFont val="Arial"/>
        <family val="2"/>
      </rPr>
      <t>)</t>
    </r>
  </si>
  <si>
    <t>Yleinen asumistuki</t>
  </si>
  <si>
    <t>80% of (limited) rent above a "deductible amount"; available to families, couples and single people of limited means</t>
  </si>
  <si>
    <t>Rent supplement for social assistance recipients; housing allowance schemes for pensioners and students</t>
  </si>
  <si>
    <r>
      <rPr>
        <i/>
        <sz val="9"/>
        <rFont val="Arial"/>
        <family val="2"/>
      </rPr>
      <t>Aide personnalisé au logement</t>
    </r>
    <r>
      <rPr>
        <sz val="9"/>
        <rFont val="Arial"/>
        <family val="2"/>
      </rPr>
      <t xml:space="preserve"> (APL),</t>
    </r>
    <r>
      <rPr>
        <i/>
        <sz val="9"/>
        <rFont val="Arial"/>
        <family val="2"/>
      </rPr>
      <t xml:space="preserve"> allocation de logement à caractére famlial</t>
    </r>
    <r>
      <rPr>
        <sz val="9"/>
        <rFont val="Arial"/>
        <family val="2"/>
      </rPr>
      <t xml:space="preserve"> (ALF), </t>
    </r>
    <r>
      <rPr>
        <i/>
        <sz val="9"/>
        <rFont val="Arial"/>
        <family val="2"/>
      </rPr>
      <t>allocation de logement de caratère social</t>
    </r>
    <r>
      <rPr>
        <sz val="9"/>
        <rFont val="Arial"/>
        <family val="2"/>
      </rPr>
      <t xml:space="preserve"> (ALS)</t>
    </r>
  </si>
  <si>
    <t xml:space="preserve">Benefit amount equals actual rent up to a maximum amount minus a personal contribution that depends on the rent, income and family size. </t>
  </si>
  <si>
    <t>Wohngeld</t>
  </si>
  <si>
    <t>Rent Supplement as part of social assistance (supplementary welfare allowance scheme)</t>
  </si>
  <si>
    <t>Huurtoeslag</t>
  </si>
  <si>
    <t>Bostøtte</t>
  </si>
  <si>
    <t>Dodatki mieszkaniowe</t>
  </si>
  <si>
    <t>Depends on dwelling size and actual rent cost</t>
  </si>
  <si>
    <t>For social assistance recipients: Housing and heating allowance at discretion of Social assistance centres</t>
  </si>
  <si>
    <t>Subsídio de lar - Subsídio de renda</t>
  </si>
  <si>
    <t>Subvencija za najemnine</t>
  </si>
  <si>
    <t xml:space="preserve">Total housing costs are divided in brackets. 100% of the first bracket is covered, followed by 50-90% of the next bracket up to a maximum. The benefit amount is reduced by 20% (33%) of income above a threshold for families with (without) children. Subsidy rates and income thresholds depend on family type. </t>
  </si>
  <si>
    <t>Rent fully covered for social assistance recipients</t>
  </si>
  <si>
    <t>No general scheme. Some cantons provide housing benefit to low-income households, elderly or families with children.</t>
  </si>
  <si>
    <t>Housing assistance for social assistance recipients</t>
  </si>
  <si>
    <t>quant table</t>
  </si>
  <si>
    <t>Source look-up value:</t>
  </si>
  <si>
    <t>PT_CB_name</t>
  </si>
  <si>
    <t>PT_CB_type</t>
  </si>
  <si>
    <t>PT_CB_cond_age</t>
  </si>
  <si>
    <t>PT_CB_cond_other</t>
  </si>
  <si>
    <t>see left most column</t>
  </si>
  <si>
    <t>PT_CB_var_age</t>
  </si>
  <si>
    <t>PT_CB_var_children</t>
  </si>
  <si>
    <t>PT_CB_earnings_disreg</t>
  </si>
  <si>
    <t>PT_CB_withdrawal</t>
  </si>
  <si>
    <t>PT_CB_means_assets</t>
  </si>
  <si>
    <t>Program name (local name in parentheses if available)</t>
  </si>
  <si>
    <t>Type of benefit</t>
  </si>
  <si>
    <t>Eligibility criteria</t>
  </si>
  <si>
    <t>Income test or income dependence</t>
  </si>
  <si>
    <t>Age limits for children up to and including (in parentheses if student)</t>
  </si>
  <si>
    <r>
      <t>Maximum benefit for one child aged between 3 and 12 in % of AW</t>
    </r>
    <r>
      <rPr>
        <vertAlign val="superscript"/>
        <sz val="9"/>
        <rFont val="Arial"/>
        <family val="2"/>
      </rPr>
      <t>(3)</t>
    </r>
  </si>
  <si>
    <t>Withdrawal rate</t>
  </si>
  <si>
    <t>Assets part of means test?</t>
  </si>
  <si>
    <t>PT_FB1_max_AW</t>
  </si>
  <si>
    <t>PT_FB2_max_AW</t>
  </si>
  <si>
    <t>PT_FB3_max_AW</t>
  </si>
  <si>
    <t>PT_LPB1_max_AW</t>
  </si>
  <si>
    <t>PT_LPB2_max_AW</t>
  </si>
  <si>
    <t>PT_FB4_max_AW</t>
  </si>
  <si>
    <t>PT_FB6_max_AW</t>
  </si>
  <si>
    <t>PT_FB7_max_AW</t>
  </si>
  <si>
    <t>PT_LPB3_max_AW</t>
  </si>
  <si>
    <t>PT_LPB4_max_AW</t>
  </si>
  <si>
    <r>
      <t>Greece</t>
    </r>
    <r>
      <rPr>
        <vertAlign val="superscript"/>
        <sz val="9"/>
        <rFont val="Arial"/>
        <family val="2"/>
      </rPr>
      <t>(5)</t>
    </r>
  </si>
  <si>
    <t>PT_LPB5_max_AW</t>
  </si>
  <si>
    <t>Switzerland (Zurich)</t>
  </si>
  <si>
    <t>Age of child (+: more for older children, -: less for older children, 0: no difference by age)</t>
  </si>
  <si>
    <t>Per-child benefit amount varies with:</t>
  </si>
  <si>
    <t xml:space="preserve">Number of children (+: per-child amount increases with number of children, 0: same amount for each child, -: per-child amount decreases with number of children, --: no change in total amount by family size). </t>
  </si>
  <si>
    <t>Family Tax Benefit Part A</t>
  </si>
  <si>
    <t>Targeted</t>
  </si>
  <si>
    <t>+</t>
  </si>
  <si>
    <t>Family Tax Benefit Part B</t>
  </si>
  <si>
    <t>Parenting Payment (single)</t>
  </si>
  <si>
    <t>Universal</t>
  </si>
  <si>
    <t>18 (24)</t>
  </si>
  <si>
    <r>
      <t>School Bonus (</t>
    </r>
    <r>
      <rPr>
        <i/>
        <sz val="9"/>
        <rFont val="Arial"/>
        <family val="2"/>
      </rPr>
      <t>Schulstartgeld</t>
    </r>
    <r>
      <rPr>
        <sz val="9"/>
        <rFont val="Arial"/>
        <family val="2"/>
      </rPr>
      <t>)</t>
    </r>
  </si>
  <si>
    <r>
      <t>Family benefit (</t>
    </r>
    <r>
      <rPr>
        <i/>
        <sz val="9"/>
        <rFont val="Arial"/>
        <family val="2"/>
      </rPr>
      <t>Allocation familiale</t>
    </r>
    <r>
      <rPr>
        <sz val="9"/>
        <rFont val="Arial"/>
        <family val="2"/>
      </rPr>
      <t>)</t>
    </r>
  </si>
  <si>
    <t>17 (24)</t>
  </si>
  <si>
    <t>Lone parent supplement to family benefit</t>
  </si>
  <si>
    <r>
      <t>Lone parent child care benefit (</t>
    </r>
    <r>
      <rPr>
        <i/>
        <sz val="9"/>
        <rFont val="Arial"/>
        <family val="2"/>
      </rPr>
      <t>Complément de garde d'enfant</t>
    </r>
    <r>
      <rPr>
        <sz val="9"/>
        <rFont val="Arial"/>
        <family val="2"/>
      </rPr>
      <t>)</t>
    </r>
  </si>
  <si>
    <t>Targeted non-wastable tax credit</t>
  </si>
  <si>
    <r>
      <rPr>
        <i/>
        <sz val="9"/>
        <rFont val="Arial"/>
        <family val="2"/>
      </rPr>
      <t>Working Income Tax Benefit</t>
    </r>
    <r>
      <rPr>
        <sz val="9"/>
        <rFont val="Arial"/>
        <family val="2"/>
      </rPr>
      <t xml:space="preserve"> (WITB)</t>
    </r>
  </si>
  <si>
    <t>Ontario Sales Tax Credit</t>
  </si>
  <si>
    <t>Goods and Services Tax Credit</t>
  </si>
  <si>
    <r>
      <t xml:space="preserve">Increase in </t>
    </r>
    <r>
      <rPr>
        <i/>
        <sz val="9"/>
        <rFont val="Arial"/>
        <family val="2"/>
      </rPr>
      <t xml:space="preserve">Goods and Services Tax Credit </t>
    </r>
    <r>
      <rPr>
        <sz val="9"/>
        <rFont val="Arial"/>
        <family val="2"/>
      </rPr>
      <t>for lone parents</t>
    </r>
  </si>
  <si>
    <r>
      <rPr>
        <i/>
        <sz val="9"/>
        <rFont val="Arial"/>
        <family val="2"/>
      </rPr>
      <t>Eligible Dependant Tax Credit</t>
    </r>
    <r>
      <rPr>
        <sz val="9"/>
        <rFont val="Arial"/>
        <family val="2"/>
      </rPr>
      <t xml:space="preserve"> (federal)</t>
    </r>
  </si>
  <si>
    <r>
      <rPr>
        <i/>
        <sz val="9"/>
        <rFont val="Arial"/>
        <family val="2"/>
      </rPr>
      <t>Eligible Dependant Tax Credit</t>
    </r>
    <r>
      <rPr>
        <sz val="9"/>
        <rFont val="Arial"/>
        <family val="2"/>
      </rPr>
      <t xml:space="preserve"> (Ontario)</t>
    </r>
  </si>
  <si>
    <t>Wastable tax credit</t>
  </si>
  <si>
    <t>17 (23)</t>
  </si>
  <si>
    <t>Child allowance</t>
  </si>
  <si>
    <t>14 (25)</t>
  </si>
  <si>
    <t>-</t>
  </si>
  <si>
    <r>
      <t>Child allowance (</t>
    </r>
    <r>
      <rPr>
        <i/>
        <sz val="9"/>
        <rFont val="Arial"/>
        <family val="2"/>
      </rPr>
      <t>lapsetoetus</t>
    </r>
    <r>
      <rPr>
        <sz val="9"/>
        <rFont val="Arial"/>
        <family val="2"/>
      </rPr>
      <t>)</t>
    </r>
  </si>
  <si>
    <t>15 (18)</t>
  </si>
  <si>
    <r>
      <t>Lone parent supplement to child allowance (</t>
    </r>
    <r>
      <rPr>
        <i/>
        <sz val="9"/>
        <rFont val="Arial"/>
        <family val="2"/>
      </rPr>
      <t>lapsetoetus</t>
    </r>
    <r>
      <rPr>
        <sz val="9"/>
        <rFont val="Arial"/>
        <family val="2"/>
      </rPr>
      <t>)</t>
    </r>
  </si>
  <si>
    <t>Absent parent does not pay alimony</t>
  </si>
  <si>
    <r>
      <t>Family benefit (</t>
    </r>
    <r>
      <rPr>
        <i/>
        <sz val="9"/>
        <rFont val="Arial"/>
        <family val="2"/>
      </rPr>
      <t>lapsilisä</t>
    </r>
    <r>
      <rPr>
        <sz val="9"/>
        <rFont val="Arial"/>
        <family val="2"/>
      </rPr>
      <t>)</t>
    </r>
  </si>
  <si>
    <r>
      <t>Lone parent supplement to family benefit (</t>
    </r>
    <r>
      <rPr>
        <i/>
        <sz val="9"/>
        <rFont val="Arial"/>
        <family val="2"/>
      </rPr>
      <t>lapsilisä</t>
    </r>
    <r>
      <rPr>
        <sz val="9"/>
        <rFont val="Arial"/>
        <family val="2"/>
      </rPr>
      <t>)</t>
    </r>
  </si>
  <si>
    <r>
      <t>General family benefit (</t>
    </r>
    <r>
      <rPr>
        <i/>
        <sz val="9"/>
        <rFont val="Arial"/>
        <family val="2"/>
      </rPr>
      <t>Allocations Familiales</t>
    </r>
    <r>
      <rPr>
        <sz val="9"/>
        <rFont val="Arial"/>
        <family val="2"/>
      </rPr>
      <t xml:space="preserve"> (AF))</t>
    </r>
  </si>
  <si>
    <r>
      <t>Young child benefit (</t>
    </r>
    <r>
      <rPr>
        <i/>
        <sz val="9"/>
        <rFont val="Arial"/>
        <family val="2"/>
      </rPr>
      <t xml:space="preserve">Prestation d'accueil du jeune enfant </t>
    </r>
    <r>
      <rPr>
        <sz val="9"/>
        <rFont val="Arial"/>
        <family val="2"/>
      </rPr>
      <t>(PAJE))</t>
    </r>
  </si>
  <si>
    <t>Varies by family size</t>
  </si>
  <si>
    <r>
      <t>School allowance (</t>
    </r>
    <r>
      <rPr>
        <i/>
        <sz val="9"/>
        <rFont val="Arial"/>
        <family val="2"/>
      </rPr>
      <t>Allocation Rentrée Scolaire</t>
    </r>
    <r>
      <rPr>
        <sz val="9"/>
        <rFont val="Arial"/>
        <family val="2"/>
      </rPr>
      <t xml:space="preserve"> (ARS))</t>
    </r>
  </si>
  <si>
    <r>
      <t>Lone parent benefit (</t>
    </r>
    <r>
      <rPr>
        <i/>
        <sz val="9"/>
        <rFont val="Arial"/>
        <family val="2"/>
      </rPr>
      <t>Allocation Soutien Familiale</t>
    </r>
    <r>
      <rPr>
        <sz val="9"/>
        <rFont val="Arial"/>
        <family val="2"/>
      </rPr>
      <t xml:space="preserve"> (ASF))</t>
    </r>
  </si>
  <si>
    <t>18 (25)</t>
  </si>
  <si>
    <r>
      <t>Education and participation package (</t>
    </r>
    <r>
      <rPr>
        <i/>
        <sz val="9"/>
        <rFont val="Arial"/>
        <family val="2"/>
      </rPr>
      <t>Bildungspaket</t>
    </r>
    <r>
      <rPr>
        <sz val="9"/>
        <rFont val="Arial"/>
        <family val="2"/>
      </rPr>
      <t>)</t>
    </r>
  </si>
  <si>
    <t>Family receives unemployment benefit II</t>
  </si>
  <si>
    <r>
      <t>Family allowance (</t>
    </r>
    <r>
      <rPr>
        <i/>
        <sz val="9"/>
        <rFont val="Arial"/>
        <family val="2"/>
      </rPr>
      <t>Családi pótlék</t>
    </r>
    <r>
      <rPr>
        <sz val="9"/>
        <rFont val="Arial"/>
        <family val="2"/>
      </rPr>
      <t>)</t>
    </r>
  </si>
  <si>
    <t>18 (23)</t>
  </si>
  <si>
    <r>
      <t>Family benefit (</t>
    </r>
    <r>
      <rPr>
        <i/>
        <sz val="9"/>
        <rFont val="Arial"/>
        <family val="2"/>
      </rPr>
      <t>barnabætur</t>
    </r>
    <r>
      <rPr>
        <sz val="9"/>
        <rFont val="Arial"/>
        <family val="2"/>
      </rPr>
      <t>)</t>
    </r>
  </si>
  <si>
    <t>Lone parent</t>
  </si>
  <si>
    <t>Lone parent mother/fatherhood allowance</t>
  </si>
  <si>
    <t>Child benefit</t>
  </si>
  <si>
    <t>15 (17)</t>
  </si>
  <si>
    <r>
      <rPr>
        <i/>
        <sz val="9"/>
        <rFont val="Arial"/>
        <family val="2"/>
      </rPr>
      <t>One-parent family payment</t>
    </r>
    <r>
      <rPr>
        <sz val="9"/>
        <rFont val="Arial"/>
        <family val="2"/>
      </rPr>
      <t xml:space="preserve"> (OFP)</t>
    </r>
  </si>
  <si>
    <t>Targeted wastable tax credit</t>
  </si>
  <si>
    <t>Preferential income tax schedule for lone parents</t>
  </si>
  <si>
    <t>Child tax allowance</t>
  </si>
  <si>
    <t>Parents with work income or on unemployment insurance benefit</t>
  </si>
  <si>
    <t>Earned income tax credit for parents</t>
  </si>
  <si>
    <t>Working low-income parents</t>
  </si>
  <si>
    <t>Varies by number of children and income</t>
  </si>
  <si>
    <t>17 (20)</t>
  </si>
  <si>
    <t>Child tax credit</t>
  </si>
  <si>
    <t>Large family child tax credit</t>
  </si>
  <si>
    <t>Family benefit</t>
  </si>
  <si>
    <t>Tax allowance</t>
  </si>
  <si>
    <r>
      <t>School expenses allowance (</t>
    </r>
    <r>
      <rPr>
        <i/>
        <sz val="9"/>
        <rFont val="Arial"/>
        <family val="2"/>
      </rPr>
      <t>Allocation rentrée scolaire</t>
    </r>
    <r>
      <rPr>
        <sz val="9"/>
        <rFont val="Arial"/>
        <family val="2"/>
      </rPr>
      <t>)</t>
    </r>
  </si>
  <si>
    <t>Lower tax rates</t>
  </si>
  <si>
    <r>
      <t>Family benefit (</t>
    </r>
    <r>
      <rPr>
        <i/>
        <sz val="9"/>
        <rFont val="Arial"/>
        <family val="2"/>
      </rPr>
      <t>Abono de família para crianças e jovens</t>
    </r>
    <r>
      <rPr>
        <sz val="9"/>
        <rFont val="Arial"/>
        <family val="2"/>
      </rPr>
      <t>)</t>
    </r>
  </si>
  <si>
    <r>
      <t>Additional family benefit (</t>
    </r>
    <r>
      <rPr>
        <i/>
        <sz val="9"/>
        <rFont val="Arial"/>
        <family val="2"/>
      </rPr>
      <t>Abono de família para crianças e jovens</t>
    </r>
    <r>
      <rPr>
        <sz val="9"/>
        <rFont val="Arial"/>
        <family val="2"/>
      </rPr>
      <t>) for lone parents</t>
    </r>
  </si>
  <si>
    <r>
      <t>Child allowance (</t>
    </r>
    <r>
      <rPr>
        <i/>
        <sz val="9"/>
        <rFont val="Arial"/>
        <family val="2"/>
      </rPr>
      <t>Prídavok na dieťa</t>
    </r>
    <r>
      <rPr>
        <sz val="9"/>
        <rFont val="Arial"/>
        <family val="2"/>
      </rPr>
      <t>)</t>
    </r>
  </si>
  <si>
    <t>Non-wastable tax credit</t>
  </si>
  <si>
    <r>
      <t>Family benefit (</t>
    </r>
    <r>
      <rPr>
        <i/>
        <sz val="9"/>
        <rFont val="Arial"/>
        <family val="2"/>
      </rPr>
      <t>otroški dodatek</t>
    </r>
    <r>
      <rPr>
        <sz val="9"/>
        <rFont val="Arial"/>
        <family val="2"/>
      </rPr>
      <t>)</t>
    </r>
  </si>
  <si>
    <r>
      <t>Large family allowance (</t>
    </r>
    <r>
      <rPr>
        <i/>
        <sz val="9"/>
        <rFont val="Arial"/>
        <family val="2"/>
      </rPr>
      <t>dodatek za veliko družino</t>
    </r>
    <r>
      <rPr>
        <sz val="9"/>
        <rFont val="Arial"/>
        <family val="2"/>
      </rPr>
      <t>)</t>
    </r>
  </si>
  <si>
    <t>Tax allowance for children</t>
  </si>
  <si>
    <r>
      <t>Supplement to social assistance (</t>
    </r>
    <r>
      <rPr>
        <i/>
        <sz val="9"/>
        <rFont val="Arial"/>
        <family val="2"/>
      </rPr>
      <t>Denarna socialna pomoč</t>
    </r>
    <r>
      <rPr>
        <sz val="9"/>
        <rFont val="Arial"/>
        <family val="2"/>
      </rPr>
      <t>) for lone parents</t>
    </r>
  </si>
  <si>
    <r>
      <t>Supplement to family benefit (</t>
    </r>
    <r>
      <rPr>
        <i/>
        <sz val="9"/>
        <rFont val="Arial"/>
        <family val="2"/>
      </rPr>
      <t>otroški dodatek</t>
    </r>
    <r>
      <rPr>
        <sz val="9"/>
        <rFont val="Arial"/>
        <family val="2"/>
      </rPr>
      <t>) for lone parents</t>
    </r>
  </si>
  <si>
    <t>15 (19)</t>
  </si>
  <si>
    <t>15 (24)</t>
  </si>
  <si>
    <t>Parents must be working or receiving unemployment benefit</t>
  </si>
  <si>
    <t>Universal, but off-set by tax charge for high-income families</t>
  </si>
  <si>
    <r>
      <rPr>
        <i/>
        <sz val="9"/>
        <rFont val="Arial"/>
        <family val="2"/>
      </rPr>
      <t>Temporary Assistance for Needy Families</t>
    </r>
    <r>
      <rPr>
        <sz val="9"/>
        <rFont val="Arial"/>
        <family val="2"/>
      </rPr>
      <t xml:space="preserve"> (TANF)</t>
    </r>
  </si>
  <si>
    <t>18 (19)</t>
  </si>
  <si>
    <r>
      <rPr>
        <i/>
        <sz val="9"/>
        <rFont val="Arial"/>
        <family val="2"/>
      </rPr>
      <t>Earned Income Tax Credit</t>
    </r>
    <r>
      <rPr>
        <sz val="9"/>
        <rFont val="Arial"/>
        <family val="2"/>
      </rPr>
      <t xml:space="preserve"> (EITC)</t>
    </r>
  </si>
  <si>
    <t>Working parent(s)</t>
  </si>
  <si>
    <t xml:space="preserve">Tax allowance </t>
  </si>
  <si>
    <t>Targeted tax credit, partly non-wastable</t>
  </si>
  <si>
    <t>First grade pupils</t>
  </si>
  <si>
    <t>Absent parent does not pay child support/alimony</t>
  </si>
  <si>
    <t>14 (18)</t>
  </si>
  <si>
    <r>
      <t>Family benefit (</t>
    </r>
    <r>
      <rPr>
        <i/>
        <sz val="9"/>
        <rFont val="Arial"/>
        <family val="2"/>
      </rPr>
      <t>ģimenes valsts pabalsts</t>
    </r>
    <r>
      <rPr>
        <sz val="9"/>
        <rFont val="Arial"/>
        <family val="2"/>
      </rPr>
      <t>)</t>
    </r>
  </si>
  <si>
    <t>Paid under the decision of the court if absent parent does not pay child support</t>
  </si>
  <si>
    <t xml:space="preserve">n.a. </t>
  </si>
  <si>
    <t>Varies by family size: 6% for each child aged under 16 plus 2% for each child aged 16-20</t>
  </si>
  <si>
    <t>Lone parent with at least 2 children</t>
  </si>
  <si>
    <t>0, with more than 3 children supplemental non-wastable child credit may be claimed</t>
  </si>
  <si>
    <t>0, + from third child on</t>
  </si>
  <si>
    <t>*</t>
  </si>
  <si>
    <t>0 up till fourth child, then --</t>
  </si>
  <si>
    <t>Type of employment-conditional benefit</t>
  </si>
  <si>
    <t>Beneficiaries of employment-conditional benefit</t>
  </si>
  <si>
    <t>Eligibility and calculation criteria</t>
  </si>
  <si>
    <t>Time dependency of employment-conditional benefit</t>
  </si>
  <si>
    <t>Child-based condition</t>
  </si>
  <si>
    <t>Influence of number of children on benefit amount</t>
  </si>
  <si>
    <t>Working hour criterion</t>
  </si>
  <si>
    <t>Transition criterion</t>
  </si>
  <si>
    <t>Minimum earnings criterion for eligbility</t>
  </si>
  <si>
    <t>(Maximum) benefit amount</t>
  </si>
  <si>
    <t>Phase-in rate</t>
  </si>
  <si>
    <t>Phase-out rate</t>
  </si>
  <si>
    <t>[15]</t>
  </si>
  <si>
    <r>
      <t>Supplement to family benefit (</t>
    </r>
    <r>
      <rPr>
        <i/>
        <sz val="9"/>
        <rFont val="Arial"/>
        <family val="2"/>
      </rPr>
      <t>zasiłek rodzinny</t>
    </r>
    <r>
      <rPr>
        <sz val="9"/>
        <rFont val="Arial"/>
        <family val="2"/>
      </rPr>
      <t>) for lone parents</t>
    </r>
  </si>
  <si>
    <r>
      <t>Alimony advance payment (</t>
    </r>
    <r>
      <rPr>
        <i/>
        <sz val="9"/>
        <rFont val="Arial"/>
        <family val="2"/>
      </rPr>
      <t>Underhållsstöd</t>
    </r>
    <r>
      <rPr>
        <sz val="9"/>
        <rFont val="Arial"/>
        <family val="2"/>
      </rPr>
      <t>)</t>
    </r>
  </si>
  <si>
    <r>
      <t>Allowance for family support (</t>
    </r>
    <r>
      <rPr>
        <i/>
        <sz val="9"/>
        <rFont val="Arial"/>
        <family val="2"/>
      </rPr>
      <t>Alocația pentru susținerea familiei</t>
    </r>
    <r>
      <rPr>
        <sz val="9"/>
        <rFont val="Arial"/>
        <family val="2"/>
      </rPr>
      <t>)</t>
    </r>
  </si>
  <si>
    <r>
      <t>Supplement to allowance for family support (</t>
    </r>
    <r>
      <rPr>
        <i/>
        <sz val="9"/>
        <rFont val="Arial"/>
        <family val="2"/>
      </rPr>
      <t>Alocația pentru susținerea familiei</t>
    </r>
    <r>
      <rPr>
        <sz val="9"/>
        <rFont val="Arial"/>
        <family val="2"/>
      </rPr>
      <t>) for lone parents</t>
    </r>
  </si>
  <si>
    <r>
      <t>Earnings when phasing out begins (% AW)</t>
    </r>
    <r>
      <rPr>
        <vertAlign val="superscript"/>
        <sz val="9"/>
        <rFont val="Arial"/>
        <family val="2"/>
      </rPr>
      <t>(4)</t>
    </r>
  </si>
  <si>
    <r>
      <t>Approximate maximum earnings when benefit is phased out completely (% AW)</t>
    </r>
    <r>
      <rPr>
        <vertAlign val="superscript"/>
        <sz val="9"/>
        <rFont val="Arial"/>
        <family val="2"/>
      </rPr>
      <t>(4)</t>
    </r>
  </si>
  <si>
    <r>
      <t>Luxembourg</t>
    </r>
    <r>
      <rPr>
        <vertAlign val="superscript"/>
        <sz val="9"/>
        <rFont val="Arial"/>
        <family val="2"/>
      </rPr>
      <t>(10)</t>
    </r>
  </si>
  <si>
    <t>No phase-out</t>
  </si>
  <si>
    <t>Individual's gross earnings</t>
  </si>
  <si>
    <t>Ontario Other Employment and Employment Assistance Activities Benefit</t>
  </si>
  <si>
    <t>In-work benefit</t>
  </si>
  <si>
    <t>Once in 12 months</t>
  </si>
  <si>
    <t>Yes, less than 80% of full-time hours</t>
  </si>
  <si>
    <t>Earned income tax credit</t>
  </si>
  <si>
    <t>Employees</t>
  </si>
  <si>
    <t>Taxable income</t>
  </si>
  <si>
    <t>Mini- and Midijob (marginal employment) schemes</t>
  </si>
  <si>
    <t>Net family income</t>
  </si>
  <si>
    <t>Gross income</t>
  </si>
  <si>
    <t>Working parents</t>
  </si>
  <si>
    <t>Re-employment allowance</t>
  </si>
  <si>
    <t>Unemployment benefit recipients taking up work</t>
  </si>
  <si>
    <t>Employment tax credit</t>
  </si>
  <si>
    <t>Work-related expenses allowance</t>
  </si>
  <si>
    <t>Individual gross earnings</t>
  </si>
  <si>
    <t>Individual's work income plus potential unemployment benefits less social security contributions</t>
  </si>
  <si>
    <t>Individual net earnings</t>
  </si>
  <si>
    <r>
      <t>Reduction of employee social security contributions (</t>
    </r>
    <r>
      <rPr>
        <i/>
        <sz val="9"/>
        <rFont val="Arial"/>
        <family val="2"/>
      </rPr>
      <t>Réduction des cotisations personelles de sécurité sociale</t>
    </r>
    <r>
      <rPr>
        <sz val="9"/>
        <rFont val="Arial"/>
        <family val="2"/>
      </rPr>
      <t>)</t>
    </r>
  </si>
  <si>
    <t>Family net income</t>
  </si>
  <si>
    <t>0%, but hours criteria for eligibility</t>
  </si>
  <si>
    <t>Gross family earnings</t>
  </si>
  <si>
    <t>No, lump-sum payment</t>
  </si>
  <si>
    <t>Depends on previous earnings</t>
  </si>
  <si>
    <t>50% during first year of employment, otherwise 80%</t>
  </si>
  <si>
    <t>Family taxable income</t>
  </si>
  <si>
    <t>Into-work benefit</t>
  </si>
  <si>
    <t>Yes, must be in work</t>
  </si>
  <si>
    <r>
      <t>Into-work benefit based on remaining unemployment benefit (</t>
    </r>
    <r>
      <rPr>
        <i/>
        <sz val="9"/>
        <rFont val="Arial"/>
        <family val="2"/>
      </rPr>
      <t>Dávka v nezamestnanosti</t>
    </r>
    <r>
      <rPr>
        <sz val="9"/>
        <rFont val="Arial"/>
        <family val="2"/>
      </rPr>
      <t>) claim</t>
    </r>
  </si>
  <si>
    <t>Can claim 50% of remaining unemployment insurance as a lump sum if begins working again after 3 months of unemployment</t>
  </si>
  <si>
    <r>
      <t>Social assistance (</t>
    </r>
    <r>
      <rPr>
        <i/>
        <sz val="9"/>
        <rFont val="Arial"/>
        <family val="2"/>
      </rPr>
      <t>Denarna socialna pomoč</t>
    </r>
    <r>
      <rPr>
        <sz val="9"/>
        <rFont val="Arial"/>
        <family val="2"/>
      </rPr>
      <t>) supplements if working</t>
    </r>
  </si>
  <si>
    <r>
      <rPr>
        <i/>
        <sz val="9"/>
        <rFont val="Arial"/>
        <family val="2"/>
      </rPr>
      <t>Earned income tax credit</t>
    </r>
    <r>
      <rPr>
        <sz val="9"/>
        <rFont val="Arial"/>
        <family val="2"/>
      </rPr>
      <t xml:space="preserve"> (EITC)</t>
    </r>
  </si>
  <si>
    <t>30% of previous unemployment benefit payment</t>
  </si>
  <si>
    <t>Up to 3 months</t>
  </si>
  <si>
    <t>Social assistance benefit</t>
  </si>
  <si>
    <t>4. Phasing-out thresholds are shown for a single person working full-time if not indicated differently in country-specific footnotes.</t>
  </si>
  <si>
    <t>2. + (-) indicates a more (less) than proportional increase for each additional child. +/- for countries that give higher rates to the youngest and oldest age groups.</t>
  </si>
  <si>
    <t xml:space="preserve">4. AUS: Recipients of FTB and Parenting Payment in Australia are entitled to Clean Energy Advance (later substituted by Clean Energy Supplement) to offset the impacts of carbon pricing. </t>
  </si>
  <si>
    <t>Tax treatment of benefits</t>
  </si>
  <si>
    <t>PT_UI_taxable</t>
  </si>
  <si>
    <t>PT_UA_taxable</t>
  </si>
  <si>
    <t>PT_FB_taxable</t>
  </si>
  <si>
    <t>PT_LP_taxable</t>
  </si>
  <si>
    <t>PT_HB_taxable</t>
  </si>
  <si>
    <t>PT_SA_taxable</t>
  </si>
  <si>
    <t>Legend:</t>
  </si>
  <si>
    <t>T</t>
  </si>
  <si>
    <t>Taxes are payable.</t>
  </si>
  <si>
    <t>T(n) or S(n)</t>
  </si>
  <si>
    <t>Long-term recipients will not pay the taxes</t>
  </si>
  <si>
    <t>(T)</t>
  </si>
  <si>
    <t>Taxes payable on parts of benefit.</t>
  </si>
  <si>
    <t>or SSC as the credits, allowances or zero</t>
  </si>
  <si>
    <t>S</t>
  </si>
  <si>
    <t>Social security contributions (SSC) are payable.</t>
  </si>
  <si>
    <t>rate bands exceed the benefit level.</t>
  </si>
  <si>
    <t>N</t>
  </si>
  <si>
    <t>Neither taxes nor SSC are levied.</t>
  </si>
  <si>
    <t xml:space="preserve">(reduced)
                            </t>
  </si>
  <si>
    <t>A reduced rate is payable for beneficiaries.</t>
  </si>
  <si>
    <t>No specific scheme / Does not apply.</t>
  </si>
  <si>
    <t>tc</t>
  </si>
  <si>
    <t>Benefit is a proportion of after tax income</t>
  </si>
  <si>
    <t>(and thus not taxable).</t>
  </si>
  <si>
    <t>Unemployment insurance benefit</t>
  </si>
  <si>
    <t>Unemployment assistance benefit</t>
  </si>
  <si>
    <r>
      <t>Lone-parent benefit</t>
    </r>
    <r>
      <rPr>
        <vertAlign val="superscript"/>
        <sz val="9"/>
        <rFont val="Arial"/>
        <family val="2"/>
      </rPr>
      <t>(1)</t>
    </r>
  </si>
  <si>
    <t>Housing benefit</t>
  </si>
  <si>
    <r>
      <t>France</t>
    </r>
    <r>
      <rPr>
        <vertAlign val="superscript"/>
        <sz val="9"/>
        <rFont val="Arial"/>
        <family val="2"/>
      </rPr>
      <t>(2)</t>
    </r>
  </si>
  <si>
    <r>
      <t>Luxembourg</t>
    </r>
    <r>
      <rPr>
        <vertAlign val="superscript"/>
        <sz val="9"/>
        <rFont val="Arial"/>
        <family val="2"/>
      </rPr>
      <t>(3)</t>
    </r>
  </si>
  <si>
    <r>
      <t>Spain</t>
    </r>
    <r>
      <rPr>
        <vertAlign val="superscript"/>
        <sz val="9"/>
        <rFont val="Arial"/>
        <family val="2"/>
      </rPr>
      <t>(5)</t>
    </r>
  </si>
  <si>
    <r>
      <t>Turkey</t>
    </r>
    <r>
      <rPr>
        <vertAlign val="superscript"/>
        <sz val="9"/>
        <rFont val="Arial"/>
        <family val="2"/>
      </rPr>
      <t>(6)</t>
    </r>
  </si>
  <si>
    <t>T(n)</t>
  </si>
  <si>
    <t>T, S (reduced)</t>
  </si>
  <si>
    <t>T, S (only health insurance contribution)</t>
  </si>
  <si>
    <t>T, S(reduced)</t>
  </si>
  <si>
    <t>T(n), S(n)</t>
  </si>
  <si>
    <t>T, S</t>
  </si>
  <si>
    <t>T (reduced)</t>
  </si>
  <si>
    <t>S (reduced)</t>
  </si>
  <si>
    <t>T (reduced), S(reduced)</t>
  </si>
  <si>
    <t>N/tc</t>
  </si>
  <si>
    <t>T(reduced)</t>
  </si>
  <si>
    <t>1.  Only countries that provide family benefit supplement or specific non-means-tested benefits.</t>
  </si>
  <si>
    <r>
      <t xml:space="preserve">2. FRA: Family and housing benefits are not taxable as such but are subject to an obligatory contribution of 0.5% to a social fund (CRDS - </t>
    </r>
    <r>
      <rPr>
        <i/>
        <sz val="9"/>
        <rFont val="Arial"/>
        <family val="2"/>
      </rPr>
      <t>contribution au remboursement de la dette sociale</t>
    </r>
    <r>
      <rPr>
        <sz val="9"/>
        <rFont val="Arial"/>
        <family val="2"/>
      </rPr>
      <t>).</t>
    </r>
  </si>
  <si>
    <t>3. LUX: Unemployment benefit recipients have to pay social contributions for health care, long-term care and for pensions. Social assistance benefit recipients pay full social security contributions payable with regard to the basic social assistance benefit, but pay only the sickness contributions and long term care contributions for the complementary benefit (includes rent assistance). The expensive life allowance is not taxable and no contributions to sickness and long-term care funds have to be made.</t>
  </si>
  <si>
    <t>4. NOR: Out of lone parent benefits only transitional benefit is taxable.</t>
  </si>
  <si>
    <t>5. ESP: If unemployment assistance benefit is the only income source, it is not taxable.</t>
  </si>
  <si>
    <t>6. TUR:  Unemployment insurance benefits subject to stamp tax but not income tax.</t>
  </si>
  <si>
    <t>6. ISR: Grade 45 is assumed for the calculation of housing benefit in Israel. If income from wage is under 25% above the income level credit (grade 46), a smaller benefit is awarded.</t>
  </si>
  <si>
    <r>
      <rPr>
        <i/>
        <sz val="9"/>
        <rFont val="Arial"/>
        <family val="2"/>
      </rPr>
      <t>Unemployment benefit</t>
    </r>
    <r>
      <rPr>
        <sz val="9"/>
        <rFont val="Arial"/>
        <family val="2"/>
      </rPr>
      <t xml:space="preserve"> (UB, contributory)
</t>
    </r>
    <r>
      <rPr>
        <i/>
        <sz val="9"/>
        <rFont val="Arial"/>
        <family val="2"/>
      </rPr>
      <t>Special unemployment benefit</t>
    </r>
    <r>
      <rPr>
        <sz val="9"/>
        <rFont val="Arial"/>
        <family val="2"/>
      </rPr>
      <t xml:space="preserve"> (SUB, means-tested)</t>
    </r>
  </si>
  <si>
    <t>C: 12 out of last 16 months</t>
  </si>
  <si>
    <t>Dzīvokļa pabalsts</t>
  </si>
  <si>
    <r>
      <t>Maintenance guarantee fund (</t>
    </r>
    <r>
      <rPr>
        <i/>
        <sz val="9"/>
        <rFont val="Arial"/>
        <family val="2"/>
      </rPr>
      <t>valsts uztūrlīdzekļi bērniem</t>
    </r>
    <r>
      <rPr>
        <sz val="9"/>
        <rFont val="Arial"/>
        <family val="2"/>
      </rPr>
      <t>)</t>
    </r>
  </si>
  <si>
    <t>Average Wages</t>
  </si>
  <si>
    <t>country_name</t>
  </si>
  <si>
    <t>AW</t>
  </si>
  <si>
    <t>Cyprus</t>
  </si>
  <si>
    <t>Average Wage estimated by the Centre for Tax Policy and Administration. For more information on methodology see the latest Taxing Wages publication.</t>
  </si>
  <si>
    <t>Zavarovanje za primer brezposelnosti</t>
  </si>
  <si>
    <t xml:space="preserve">All, except home care benefit for parent staying at home and the additional child allowance received by a lone parent family minus 20% of the amount of child allowance received for the first child in the first income bracket. </t>
  </si>
  <si>
    <t>- for fourth child, -- from thereon</t>
  </si>
  <si>
    <t>+ up to fifth child, - from thereon</t>
  </si>
  <si>
    <t>+ up to three children, 0 from thereon</t>
  </si>
  <si>
    <t>E + C: 180 days in the year previous to unemployment or UI exhausted or without any unemployment benefit for 180 days</t>
  </si>
  <si>
    <r>
      <t>Additional family benefit (</t>
    </r>
    <r>
      <rPr>
        <i/>
        <sz val="9"/>
        <rFont val="Arial"/>
        <family val="2"/>
      </rPr>
      <t>Abono de família para crianças e jovens</t>
    </r>
    <r>
      <rPr>
        <sz val="9"/>
        <rFont val="Arial"/>
        <family val="2"/>
      </rPr>
      <t>) for school-age children</t>
    </r>
  </si>
  <si>
    <t>6 to 16</t>
  </si>
  <si>
    <t>Pomoc v hmotnej núdzi</t>
  </si>
  <si>
    <t>Housing allowance, health care allowance, activation allowance</t>
  </si>
  <si>
    <t>All except for child allowance, childcare allowance and special allowance</t>
  </si>
  <si>
    <t>age or employment history</t>
  </si>
  <si>
    <t xml:space="preserve">Working families may also receive support through the benefits described in other sheets, but these are not included here unless families receive a larger amount of benefit if their hours or earnings are above a particular level. </t>
  </si>
  <si>
    <r>
      <rPr>
        <i/>
        <sz val="9"/>
        <rFont val="Arial"/>
        <family val="2"/>
      </rPr>
      <t>Grundsicherung für Arbeitssuchende / Arbeitslosengeld II</t>
    </r>
    <r>
      <rPr>
        <sz val="9"/>
        <rFont val="Arial"/>
        <family val="2"/>
      </rPr>
      <t xml:space="preserve"> (ALGII; "Hartz IV")</t>
    </r>
  </si>
  <si>
    <t>Benefit amount equals 1.15 times difference between eligible rent and a proportion of income that varies by income and eligible housing costs</t>
  </si>
  <si>
    <t>0 for second child, + for third and subsequent children</t>
  </si>
  <si>
    <r>
      <t>Tax allowance for lone parents (</t>
    </r>
    <r>
      <rPr>
        <i/>
        <sz val="9"/>
        <rFont val="Arial"/>
        <family val="2"/>
      </rPr>
      <t>Entlastungsbetrag für Alleinerziehende</t>
    </r>
    <r>
      <rPr>
        <sz val="9"/>
        <rFont val="Arial"/>
        <family val="2"/>
      </rPr>
      <t>)</t>
    </r>
  </si>
  <si>
    <t xml:space="preserve"> + for second and subsequent children</t>
  </si>
  <si>
    <r>
      <t>Lone parent supplement to unemployment benefit II (</t>
    </r>
    <r>
      <rPr>
        <i/>
        <sz val="9"/>
        <rFont val="Arial"/>
        <family val="2"/>
      </rPr>
      <t>Grundsicherung für Arbeitssuchende</t>
    </r>
    <r>
      <rPr>
        <sz val="9"/>
        <rFont val="Arial"/>
        <family val="2"/>
      </rPr>
      <t>)</t>
    </r>
  </si>
  <si>
    <t>3.  All amounts are shown on an annualised basis for a couple family (unless the benefit is targeted to lone parents). AW = Average Wage of a full-time private sector employee. Where benefit is delivered through the tax system maximum amounts for non-wastable tax credits and allowances are shown where applicable.</t>
  </si>
  <si>
    <t xml:space="preserve"> + if per child payment more advantageous than lump-sum</t>
  </si>
  <si>
    <t>Fjárhagsaðstoð sveitarfélaga</t>
  </si>
  <si>
    <t>Húsnæðisbætur</t>
  </si>
  <si>
    <t>Notstandshilfe</t>
  </si>
  <si>
    <t>UI: can only be received after exhaustion of UI</t>
  </si>
  <si>
    <t>Previous basic UI benefit</t>
  </si>
  <si>
    <t>G: + if in need (previous UI were below certain level so the reipient received UI supplement)</t>
  </si>
  <si>
    <t>6. CAN: Basic allowance plus shelter allowance.</t>
  </si>
  <si>
    <t>8. HUN: The "regular social benefit" (rendszeres szociális segély) is not considered here as it is for persons incapable of performing work.</t>
  </si>
  <si>
    <r>
      <t>Germany</t>
    </r>
    <r>
      <rPr>
        <vertAlign val="superscript"/>
        <sz val="9"/>
        <rFont val="Arial"/>
        <family val="2"/>
      </rPr>
      <t>(7)</t>
    </r>
  </si>
  <si>
    <t>All other benefits except family benefits and the family supplement to UI and UA</t>
  </si>
  <si>
    <t>Until day 90: 60%</t>
  </si>
  <si>
    <t>From day 91: 30%</t>
  </si>
  <si>
    <t>Naknada za troškove stanovanja</t>
  </si>
  <si>
    <t>Heating supplement (cash or in-kind) for social assistance recipients when heating with wood; supplement for covering energy cost</t>
  </si>
  <si>
    <t>Supplement to family benefit for lone parent</t>
  </si>
  <si>
    <t>n.a</t>
  </si>
  <si>
    <t>Child allowance - N, Stay-at-home subsidy -  T, S (reduced)</t>
  </si>
  <si>
    <t>Allgemeine Wohnbeihilfe</t>
  </si>
  <si>
    <r>
      <t>Varies across regions; housing benefit in Vienna is the difference between the "countable housing expenditure" (</t>
    </r>
    <r>
      <rPr>
        <i/>
        <sz val="9"/>
        <rFont val="Arial"/>
        <family val="2"/>
      </rPr>
      <t>anrechenbarer Wohnungsaufwand</t>
    </r>
    <r>
      <rPr>
        <sz val="9"/>
        <rFont val="Arial"/>
        <family val="2"/>
      </rPr>
      <t>) and the "reasonable housing expenditure" (</t>
    </r>
    <r>
      <rPr>
        <i/>
        <sz val="9"/>
        <rFont val="Arial"/>
        <family val="2"/>
      </rPr>
      <t>zumutbarer Wohnungsaufwand</t>
    </r>
    <r>
      <rPr>
        <sz val="9"/>
        <rFont val="Arial"/>
        <family val="2"/>
      </rPr>
      <t>).</t>
    </r>
  </si>
  <si>
    <r>
      <t>Social assistance rates include 25% of housing support (</t>
    </r>
    <r>
      <rPr>
        <i/>
        <sz val="9"/>
        <rFont val="Arial"/>
        <family val="2"/>
      </rPr>
      <t>Mindestsicherung-Mietbeihilfe</t>
    </r>
    <r>
      <rPr>
        <sz val="9"/>
        <rFont val="Arial"/>
        <family val="2"/>
      </rPr>
      <t>).</t>
    </r>
  </si>
  <si>
    <r>
      <t>Family allowance (</t>
    </r>
    <r>
      <rPr>
        <i/>
        <sz val="9"/>
        <rFont val="Arial"/>
        <family val="2"/>
      </rPr>
      <t>Familienbeihilfe</t>
    </r>
    <r>
      <rPr>
        <sz val="9"/>
        <rFont val="Arial"/>
        <family val="2"/>
      </rPr>
      <t>)</t>
    </r>
  </si>
  <si>
    <t>19 (24)</t>
  </si>
  <si>
    <t xml:space="preserve"> +</t>
  </si>
  <si>
    <r>
      <t>Sole earner’s and sole parent’s tax credit for families with children (</t>
    </r>
    <r>
      <rPr>
        <i/>
        <sz val="9"/>
        <rFont val="Arial"/>
        <family val="2"/>
      </rPr>
      <t>Alleinerzieherabsetzbetrag</t>
    </r>
    <r>
      <rPr>
        <sz val="9"/>
        <rFont val="Arial"/>
        <family val="2"/>
      </rPr>
      <t>)</t>
    </r>
  </si>
  <si>
    <r>
      <t>In-work benefit (</t>
    </r>
    <r>
      <rPr>
        <i/>
        <sz val="9"/>
        <rFont val="Arial"/>
        <family val="2"/>
      </rPr>
      <t>Kombilohnbeihilf</t>
    </r>
    <r>
      <rPr>
        <sz val="9"/>
        <rFont val="Arial"/>
        <family val="2"/>
      </rPr>
      <t>e)</t>
    </r>
  </si>
  <si>
    <t>Depends on previous unemployment benefits: benefit tops up earnings to 130% of previous unemployment benefit (which in turn depends on previous earnings)</t>
  </si>
  <si>
    <t>4. AUT: Benefit as granted by the city of Vienna. The maximum amount is based on the standard assumption of a 70 square metre dwelling. The actual maximum may vary with dwelling size.</t>
  </si>
  <si>
    <r>
      <t>7. DEU: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t>
    </r>
    <r>
      <rPr>
        <i/>
        <sz val="9"/>
        <rFont val="Arial"/>
        <family val="2"/>
      </rPr>
      <t>Sozialhilfe/Sozialgeld</t>
    </r>
    <r>
      <rPr>
        <sz val="9"/>
        <rFont val="Arial"/>
        <family val="2"/>
      </rPr>
      <t>), which is based on the same basic amounts as unemployment benefit II.</t>
    </r>
  </si>
  <si>
    <t>Benefit withdrawn in two steps, fully withdrawn when family net income per person exceed RON 530/month (15% of AW)</t>
  </si>
  <si>
    <t>Municipal benefit in an extraordinary situation; subsidized provision of school lunches, food, benefits for raising and educating children,etc.</t>
  </si>
  <si>
    <t>ανεργιακό επίδομα</t>
  </si>
  <si>
    <t>Ελάχιστο εγγυημένο εισόδημα</t>
  </si>
  <si>
    <t>Additional support for those receiving GMI. Provided to the beneficiary paying rent or living in an owned house for which they have to pay mortgage interest for the housing loan.</t>
  </si>
  <si>
    <r>
      <t xml:space="preserve">Child benefit </t>
    </r>
    <r>
      <rPr>
        <i/>
        <sz val="9"/>
        <rFont val="Arial"/>
        <family val="2"/>
      </rPr>
      <t>(Επίδομα τέκνου)</t>
    </r>
  </si>
  <si>
    <t>E + C: 12 out of last 30 months</t>
  </si>
  <si>
    <t>Socialinė pašalpa</t>
  </si>
  <si>
    <r>
      <t>Austria</t>
    </r>
    <r>
      <rPr>
        <vertAlign val="superscript"/>
        <sz val="9"/>
        <rFont val="Arial"/>
        <family val="2"/>
      </rPr>
      <t>(5)</t>
    </r>
    <r>
      <rPr>
        <sz val="9"/>
        <rFont val="Arial"/>
        <family val="2"/>
      </rPr>
      <t xml:space="preserve"> </t>
    </r>
  </si>
  <si>
    <t>48-84% (depending on family composition)</t>
  </si>
  <si>
    <t>G: -20% months 12 to 24, 
-30% months 24 to 36, 
-40% months 36 to 48, 
-50% months 48 to 60,
after 60 months paid in kind (the reduction is not applied if labour exchange did not offer a job or unemployed participated in social activity)</t>
  </si>
  <si>
    <t>17(20)</t>
  </si>
  <si>
    <r>
      <t xml:space="preserve">Children's maintenance benefit </t>
    </r>
    <r>
      <rPr>
        <i/>
        <sz val="9"/>
        <rFont val="Arial"/>
        <family val="2"/>
      </rPr>
      <t>(vaikų išlaikymo išmokos)</t>
    </r>
  </si>
  <si>
    <t>Up to 6 months</t>
  </si>
  <si>
    <r>
      <t xml:space="preserve">Guaranteed minimum income benefit </t>
    </r>
    <r>
      <rPr>
        <i/>
        <sz val="9"/>
        <rFont val="Arial"/>
        <family val="2"/>
      </rPr>
      <t>(garantētā minimālā ienākuma pabalsts)</t>
    </r>
  </si>
  <si>
    <t>Net earnings up to net minimum wage for 3 months if starts a new job</t>
  </si>
  <si>
    <t>Low-income working families</t>
  </si>
  <si>
    <t>G: + lump-sum bonus for (S)UP recipients of 1% of AW;+ additional benefit through supplementary allowance if income less social security contributions below 39% of AW</t>
  </si>
  <si>
    <t>Family gross income minus employee social security contributions.</t>
  </si>
  <si>
    <r>
      <t xml:space="preserve">Peruspäiväraha </t>
    </r>
    <r>
      <rPr>
        <sz val="9"/>
        <rFont val="Arial"/>
        <family val="2"/>
      </rPr>
      <t>(basic flat rate benefit)</t>
    </r>
    <r>
      <rPr>
        <i/>
        <sz val="9"/>
        <rFont val="Arial"/>
        <family val="2"/>
      </rPr>
      <t>; Ansiosidonnainen työttömyyspäiväraha</t>
    </r>
    <r>
      <rPr>
        <sz val="9"/>
        <rFont val="Arial"/>
        <family val="2"/>
      </rPr>
      <t xml:space="preserve"> (earnings-related benefit)</t>
    </r>
  </si>
  <si>
    <r>
      <t xml:space="preserve">Maintenance allowance </t>
    </r>
    <r>
      <rPr>
        <i/>
        <sz val="9"/>
        <rFont val="Arial"/>
        <family val="2"/>
      </rPr>
      <t>(Elatustuki)</t>
    </r>
  </si>
  <si>
    <r>
      <t xml:space="preserve">Adjusted unemployment benefit </t>
    </r>
    <r>
      <rPr>
        <i/>
        <sz val="9"/>
        <rFont val="Arial"/>
        <family val="2"/>
      </rPr>
      <t>(Soviteltu työttömyysetuus)</t>
    </r>
  </si>
  <si>
    <t>Zasiłek dla bezrobotnych</t>
  </si>
  <si>
    <t xml:space="preserve"> + for 3rd and each next child</t>
  </si>
  <si>
    <t xml:space="preserve">Social assistance rules are shown in the table "Social Assistance". In some countries, families can continue to receive social assistance benefits after returning to work for a certain period, or receive higher benefit amounts if they work more than a certain number of hours. These provisions are in the "Employment-related provisions" table. </t>
  </si>
  <si>
    <t xml:space="preserve">No benefit paid on days worked. Benefit stopped if claimant works for more than four days in a seven-day period. </t>
  </si>
  <si>
    <r>
      <t xml:space="preserve">Ireland </t>
    </r>
    <r>
      <rPr>
        <vertAlign val="superscript"/>
        <sz val="9"/>
        <rFont val="Arial"/>
        <family val="2"/>
      </rPr>
      <t>(9)</t>
    </r>
  </si>
  <si>
    <t>9. IRL: See also Unemployment Assistance sheet for more details of this programme. For those who are unable to work and are not entitled to any other benefit, another social assistance benefit, Basic Supplementary Welfare Allowance is available. In practice, this is only claimed by asylum seekers, disabled people not entitled to any other benefit and those waiting for another benefit claim to be processed. However, the Rent Supplement in Supplementary Welfare Allowance is available more widely, see Housing Benefits sheet.</t>
  </si>
  <si>
    <t>E + C: 180 days during last 12 months</t>
  </si>
  <si>
    <t xml:space="preserve">Maintenance allowance </t>
  </si>
  <si>
    <t>Youngest child must be under 7</t>
  </si>
  <si>
    <t>Jobseeker's Transitional Payment</t>
  </si>
  <si>
    <t>Youngest child must be under 14</t>
  </si>
  <si>
    <t>Single Person Child Carer Credit</t>
  </si>
  <si>
    <t>Working Family Payment</t>
  </si>
  <si>
    <t>Back to Work Family Dividend</t>
  </si>
  <si>
    <t>Social security benefits including pensions and unemployment insurance (including re-employment allowance), child allowance, child rearing allowance.</t>
  </si>
  <si>
    <t>Provision of benefits for securing housing / Rent assistance to social assistance recipients</t>
  </si>
  <si>
    <t>Beneficiaries must have income and assets below a certain threshold and be looking for work. 
Maximum benefit amount is actual rent paid up to a maximum set regionally. Benefit reduced if income exceeds a threshold.</t>
  </si>
  <si>
    <t>Child rearing allowance</t>
  </si>
  <si>
    <t>Generally 0 but + for third and subsequent children if aged 3-12</t>
  </si>
  <si>
    <t>Indemnité de chômage</t>
  </si>
  <si>
    <t>10. LUX: Social assistance rates include expensive life allowance.</t>
  </si>
  <si>
    <t>Subvention de loyer</t>
  </si>
  <si>
    <r>
      <t>Tax credit for lone-parent (</t>
    </r>
    <r>
      <rPr>
        <i/>
        <sz val="9"/>
        <rFont val="Arial"/>
        <family val="2"/>
      </rPr>
      <t>Crédit d’impôt monoparental</t>
    </r>
    <r>
      <rPr>
        <sz val="9"/>
        <rFont val="Arial"/>
        <family val="2"/>
      </rPr>
      <t>)</t>
    </r>
  </si>
  <si>
    <r>
      <t>Family benefit (</t>
    </r>
    <r>
      <rPr>
        <i/>
        <sz val="9"/>
        <rFont val="Arial"/>
        <family val="2"/>
      </rPr>
      <t>Allocation pour l’avenir des enfants</t>
    </r>
    <r>
      <rPr>
        <sz val="9"/>
        <rFont val="Arial"/>
        <family val="2"/>
      </rPr>
      <t>)</t>
    </r>
  </si>
  <si>
    <t>Arbetslöshetsförsäkring inkomstrelaterad</t>
  </si>
  <si>
    <t>Until week 40: 80%</t>
  </si>
  <si>
    <t>From week 41: 70% 
After 60 weeks, job and development guarantee programme available, which pays 65% of previous earnings</t>
  </si>
  <si>
    <t>Arbetslöshetsförsäkring grundnivå</t>
  </si>
  <si>
    <t xml:space="preserve">E: at least 6 months (with at least 80 hours per month) in last 12, or 480 hours in 6 conituous months (with at least 50 hours per month)
</t>
  </si>
  <si>
    <t>G: + 450 days maximum duration for those with children</t>
  </si>
  <si>
    <t>Unemployment insurance and assistance benefits, housing benefit, family and lone parent benefits</t>
  </si>
  <si>
    <t>G: + child rates generally increase with age</t>
  </si>
  <si>
    <t>G: + withdrawal rate falls from 100% to 75% after 6 months</t>
  </si>
  <si>
    <t>- (children over 16 receive benefits for only 10 months of the year)</t>
  </si>
  <si>
    <t xml:space="preserve"> --</t>
  </si>
  <si>
    <t>2.7 times living minimum (varies by family size)</t>
  </si>
  <si>
    <t>Renta Mínima de Inserción</t>
  </si>
  <si>
    <t>Arbejdsløshedsdagpenge og andre Akasseydelser</t>
  </si>
  <si>
    <t>24 in 3 years (see also column [12])</t>
  </si>
  <si>
    <r>
      <t>Child and youth allowance (</t>
    </r>
    <r>
      <rPr>
        <i/>
        <sz val="9"/>
        <rFont val="Arial"/>
        <family val="2"/>
      </rPr>
      <t>børnechecken</t>
    </r>
    <r>
      <rPr>
        <sz val="9"/>
        <rFont val="Arial"/>
        <family val="2"/>
      </rPr>
      <t>)</t>
    </r>
  </si>
  <si>
    <t>Need to pass two means tests or all household members must be on TANF, State General Assistance or SSI</t>
  </si>
  <si>
    <t>Unemployment insurance and family benefits (TANF)</t>
  </si>
  <si>
    <t>Preferential personal income tax rules for lone parents</t>
  </si>
  <si>
    <t>More generous basic allowance for lone parents</t>
  </si>
  <si>
    <t>Benefit is reduced by 70% of any earnings</t>
  </si>
  <si>
    <t>Participatiewet</t>
  </si>
  <si>
    <t>Benefit for low-income households based on current rent levels and taxable income. Households have to pay part of rent ("standard rent") themselves; benefit covers 100% above this up to a "quality allowance limit" plus 65% of the remainder up to a ceiling/cap.</t>
  </si>
  <si>
    <t>12 to 17</t>
  </si>
  <si>
    <t>Income dependent combination credit for single parents or partner with lowest income</t>
  </si>
  <si>
    <t>Income dependent combination credit - for single parents or partner with lowest income</t>
  </si>
  <si>
    <t>Dagpenger under arbeidsløshet</t>
  </si>
  <si>
    <r>
      <t>Definition of reference earnings</t>
    </r>
    <r>
      <rPr>
        <vertAlign val="superscript"/>
        <sz val="10"/>
        <rFont val="Arial"/>
        <family val="2"/>
      </rPr>
      <t>(2)</t>
    </r>
  </si>
  <si>
    <t>G: - duration 12 months if previous income below certain threshold</t>
  </si>
  <si>
    <t>økonomisk stønad</t>
  </si>
  <si>
    <t>Allowance aims to secure those who have a combination of high housing costs and low income a reasonable accommodation. The benefit depends on the household’s total economic resources and housing costs. It is calculated as 73.7% of the difference between the housing expenses (up to a maximum which varies by region) and the "household's own expense" which depends on taxed income and wealth.</t>
  </si>
  <si>
    <r>
      <t>Child benefit (</t>
    </r>
    <r>
      <rPr>
        <i/>
        <sz val="9"/>
        <rFont val="Arial"/>
        <family val="2"/>
      </rPr>
      <t>barnetrygd</t>
    </r>
    <r>
      <rPr>
        <sz val="9"/>
        <rFont val="Arial"/>
        <family val="2"/>
      </rPr>
      <t>)</t>
    </r>
  </si>
  <si>
    <t>Recipient of Transitional benefit for lone parents</t>
  </si>
  <si>
    <r>
      <t>Child benefit (</t>
    </r>
    <r>
      <rPr>
        <i/>
        <sz val="9"/>
        <rFont val="Arial"/>
        <family val="2"/>
      </rPr>
      <t>barnetrygd</t>
    </r>
    <r>
      <rPr>
        <sz val="9"/>
        <rFont val="Arial"/>
        <family val="2"/>
      </rPr>
      <t>) - young child supplement for lone parents</t>
    </r>
  </si>
  <si>
    <r>
      <t>Child benefit (</t>
    </r>
    <r>
      <rPr>
        <i/>
        <sz val="9"/>
        <rFont val="Arial"/>
        <family val="2"/>
      </rPr>
      <t>barnetrygd</t>
    </r>
    <r>
      <rPr>
        <sz val="9"/>
        <rFont val="Arial"/>
        <family val="2"/>
      </rPr>
      <t>) - supplement for lone parents</t>
    </r>
  </si>
  <si>
    <r>
      <t>Transitional benefit for lone parents (</t>
    </r>
    <r>
      <rPr>
        <i/>
        <sz val="9"/>
        <rFont val="Arial"/>
        <family val="2"/>
      </rPr>
      <t>overgangsstønad</t>
    </r>
    <r>
      <rPr>
        <sz val="9"/>
        <rFont val="Arial"/>
        <family val="2"/>
      </rPr>
      <t>)</t>
    </r>
  </si>
  <si>
    <r>
      <t>Advance payments of child maintenance for lone parents (</t>
    </r>
    <r>
      <rPr>
        <i/>
        <sz val="9"/>
        <rFont val="Arial"/>
        <family val="2"/>
      </rPr>
      <t>bidragsforskott</t>
    </r>
    <r>
      <rPr>
        <sz val="9"/>
        <rFont val="Arial"/>
        <family val="2"/>
      </rPr>
      <t>)</t>
    </r>
  </si>
  <si>
    <r>
      <t>Cash benefit for families with small children/ Home care benefit (</t>
    </r>
    <r>
      <rPr>
        <i/>
        <sz val="9"/>
        <rFont val="Arial"/>
        <family val="2"/>
      </rPr>
      <t>kontantstøtte</t>
    </r>
    <r>
      <rPr>
        <sz val="9"/>
        <rFont val="Arial"/>
        <family val="2"/>
      </rPr>
      <t>)</t>
    </r>
  </si>
  <si>
    <t>13-23 months</t>
  </si>
  <si>
    <r>
      <t>Tax allowance for lone parents (</t>
    </r>
    <r>
      <rPr>
        <i/>
        <sz val="9"/>
        <rFont val="Arial"/>
        <family val="2"/>
      </rPr>
      <t>særfradrag for enslige forsørgere</t>
    </r>
    <r>
      <rPr>
        <sz val="9"/>
        <rFont val="Arial"/>
        <family val="2"/>
      </rPr>
      <t>)</t>
    </r>
  </si>
  <si>
    <t>Housing alllowance for social assistance recipients</t>
  </si>
  <si>
    <t>Επιχορήγηση για το ενοίκιο και τους τόκους στεγαστικού δανείου</t>
  </si>
  <si>
    <r>
      <t xml:space="preserve">Single Parent Benefit </t>
    </r>
    <r>
      <rPr>
        <i/>
        <sz val="9"/>
        <rFont val="Arial"/>
        <family val="2"/>
      </rPr>
      <t>(Επίδομα μονογονεϊκής οικογένειας)</t>
    </r>
  </si>
  <si>
    <r>
      <t>Social assistance (</t>
    </r>
    <r>
      <rPr>
        <i/>
        <sz val="9"/>
        <rFont val="Arial"/>
        <family val="2"/>
      </rPr>
      <t>Revenu Solidarité Active</t>
    </r>
    <r>
      <rPr>
        <sz val="9"/>
        <rFont val="Arial"/>
        <family val="2"/>
      </rPr>
      <t xml:space="preserve"> (RSA))</t>
    </r>
  </si>
  <si>
    <t>Unemployment, housing and most family benefits</t>
  </si>
  <si>
    <r>
      <t>Large family allowance (</t>
    </r>
    <r>
      <rPr>
        <i/>
        <sz val="9"/>
        <rFont val="Arial"/>
        <family val="2"/>
      </rPr>
      <t>Complément Familial</t>
    </r>
    <r>
      <rPr>
        <sz val="9"/>
        <rFont val="Arial"/>
        <family val="2"/>
      </rPr>
      <t xml:space="preserve"> (CF))</t>
    </r>
  </si>
  <si>
    <t>G: +/- lower benefit rates but higher income disregards for those aged under 22 on YA.
G: + single people aged 60 or over entitled to higher rate after receiving support for 9 consecutive months.</t>
  </si>
  <si>
    <t>For end of year supplement, children must be up to date with their early childhood vaccinations, on a catch-up schedule according to the current Australian Immunisation Handbook, or have a valid exemption.</t>
  </si>
  <si>
    <t>Werklooshiedswet;
Toeslagenwet;
Inkomensvoorziening Oudere Werklozen</t>
  </si>
  <si>
    <t>lump sum payment</t>
  </si>
  <si>
    <r>
      <t xml:space="preserve">Unemployment benefit for long-term unemployed </t>
    </r>
    <r>
      <rPr>
        <i/>
        <sz val="9"/>
        <rFont val="Arial"/>
        <family val="2"/>
      </rPr>
      <t>(Επίδομα Μακροχρονίως Ανέργων)</t>
    </r>
  </si>
  <si>
    <r>
      <t>Special aid after the end of payment of the unemployment allowance</t>
    </r>
    <r>
      <rPr>
        <i/>
        <sz val="9"/>
        <rFont val="Arial"/>
        <family val="2"/>
      </rPr>
      <t xml:space="preserve"> (Ειδικό βοήθημα μετά τη Λήξη της Τακτικής Επιδοτησης Ανεργίας)</t>
    </r>
  </si>
  <si>
    <t>5. GRC: Employers in some sectors grant an additional 5% of work income per worker per child and 10% for the spouse (independent of her income).</t>
  </si>
  <si>
    <t>17(23)</t>
  </si>
  <si>
    <t>T (under conditions)</t>
  </si>
  <si>
    <t>15-35% of net earnings (depending on family composition) + 10-23% (implicit disregards provided by the formula)</t>
  </si>
  <si>
    <t>E + C: 13 weeks of contributions in the 4 years preceding the unemployment event and at least 30 days of work in the 12 months prior to the beginning of the period of unemployment</t>
  </si>
  <si>
    <t>Nuova Assucurazione Sociale per l'Impiego (NASPI)</t>
  </si>
  <si>
    <r>
      <t>Natality allowance (</t>
    </r>
    <r>
      <rPr>
        <i/>
        <sz val="9"/>
        <rFont val="Arial"/>
        <family val="2"/>
      </rPr>
      <t>bonus bebé</t>
    </r>
    <r>
      <rPr>
        <sz val="9"/>
        <rFont val="Arial"/>
        <family val="2"/>
      </rPr>
      <t>)</t>
    </r>
  </si>
  <si>
    <t>Assurance Chômage / Arbeitslosenversicherung</t>
  </si>
  <si>
    <t>10-20 depending on income (see also column [13])</t>
  </si>
  <si>
    <t>Requirement to make use of all other private and/or public entitlements as a primary source of support</t>
  </si>
  <si>
    <t>Aide sociale / Sozialhilfe / Assistenza sociale</t>
  </si>
  <si>
    <r>
      <t>Family benefit (</t>
    </r>
    <r>
      <rPr>
        <i/>
        <sz val="9"/>
        <rFont val="Arial"/>
        <family val="2"/>
      </rPr>
      <t>Allocation familiales / Familienzulagen</t>
    </r>
    <r>
      <rPr>
        <sz val="9"/>
        <rFont val="Arial"/>
        <family val="2"/>
      </rPr>
      <t>)</t>
    </r>
  </si>
  <si>
    <t>15 (25)</t>
  </si>
  <si>
    <t>The amount of benefit is calculated by "credit score system" granting credit points of entitlement according to several parameters: family situation, number of children in the family, number of siblings of each parent, other benefits given to the family, age, income, benefits for particular groups, and living areas.</t>
  </si>
  <si>
    <t xml:space="preserve"> - </t>
  </si>
  <si>
    <t>Single parent tax credit</t>
  </si>
  <si>
    <t xml:space="preserve">Lone-parent family or family with 4 or more children that receives income support
</t>
  </si>
  <si>
    <t>1 month (except if didn't meet contributions requirements for UI)</t>
  </si>
  <si>
    <t>From month 4, benefit amount reduced by 3% per month</t>
  </si>
  <si>
    <t>50 to 80% depending on level of reference earnings</t>
  </si>
  <si>
    <t>Until month 3: 60%</t>
  </si>
  <si>
    <t>Weekly benefit rate is 4.1% of reference earnings (see column [8])</t>
  </si>
  <si>
    <t>60% of basic insurable earnings plus 50% in excess of this amount</t>
  </si>
  <si>
    <t xml:space="preserve">Gross </t>
  </si>
  <si>
    <t>None permitted, but lump-sum payment of 50% of remaining benefit claim (generally 6 months) if recipient takes up work after at least 3 months of unemployment</t>
  </si>
  <si>
    <t>Taking up part-time work paid less than the full-time national minimum wage may entitle inidviduals to 50% of their remaining unemployment insurance benefit</t>
  </si>
  <si>
    <t>When taking up work, 30% of benefit is paid for the rest of the entitlement period</t>
  </si>
  <si>
    <t>G: - shorter benefit duration if any gaps in employment record in last 6 years</t>
  </si>
  <si>
    <t>G: - lower benefit rate if aged under 25</t>
  </si>
  <si>
    <t xml:space="preserve">G: - duration from 5 to 12 months depending on the number of days worked during previous 14 months </t>
  </si>
  <si>
    <t xml:space="preserve">G: - lower maximum amount for those aged under 30;
G: + higher maximum amount for those aged 45-59;
G: +/- due to different parameters for 60 to 65 year olds; lump sum payments for 65+ year olds;
G: - shorter benefit durations for those aged under 35 and those aged 60-64;
G: + longer benefit durations for those aged 45-59. </t>
  </si>
  <si>
    <t>G: +/- duration from 3 to 15 months depending on employment history; 
G: + extended benefit duration if within 5 years of retirement age with at least 32 years of contributions</t>
  </si>
  <si>
    <t>G: + family supplement for those with children</t>
  </si>
  <si>
    <t>G: + replacement rate 67% of net earnings if at least one dependent child</t>
  </si>
  <si>
    <t>G: + supplement for each dependent child; 
G: + supplement for dependent spouse</t>
  </si>
  <si>
    <t>G: + 85% replacement rate for those with dependent children</t>
  </si>
  <si>
    <t>E: + 5 days waiting period if maintaining children &lt; 25
G: + replacement rate of 80% and higher maximum benefit for those with dependent children aged under 25</t>
  </si>
  <si>
    <t>G: + higher flat rate for households of two or more</t>
  </si>
  <si>
    <t>G: + higher allowance during participation in employment measures</t>
  </si>
  <si>
    <t>G: + longer benefit duration for those deemed difficult to re-employ;
E: - longer contribution requirement for those not unemployed as a result of bankruptcy or dismissal; 
G: - shorter benefit duration for those not unemployed as a result of bankruptcy or dismissal</t>
  </si>
  <si>
    <r>
      <t xml:space="preserve">Unemployment payments via </t>
    </r>
    <r>
      <rPr>
        <i/>
        <sz val="9"/>
        <rFont val="Arial"/>
        <family val="2"/>
      </rPr>
      <t>Newstart Allowance</t>
    </r>
    <r>
      <rPr>
        <sz val="9"/>
        <rFont val="Arial"/>
        <family val="2"/>
      </rPr>
      <t xml:space="preserve"> (NSA) if 22 or older and </t>
    </r>
    <r>
      <rPr>
        <i/>
        <sz val="9"/>
        <rFont val="Arial"/>
        <family val="2"/>
      </rPr>
      <t>Youth Allowance</t>
    </r>
    <r>
      <rPr>
        <sz val="9"/>
        <rFont val="Arial"/>
        <family val="2"/>
      </rPr>
      <t xml:space="preserve"> (YA) if under 22; </t>
    </r>
    <r>
      <rPr>
        <i/>
        <sz val="9"/>
        <rFont val="Arial"/>
        <family val="2"/>
      </rPr>
      <t>Parenting Payment (couple)</t>
    </r>
    <r>
      <rPr>
        <sz val="9"/>
        <rFont val="Arial"/>
        <family val="2"/>
      </rPr>
      <t xml:space="preserve"> with one member caring for a child under six similar to NSA</t>
    </r>
  </si>
  <si>
    <r>
      <t>Special aid for unemployed after a three-month registration (</t>
    </r>
    <r>
      <rPr>
        <i/>
        <sz val="9"/>
        <rFont val="Arial"/>
        <family val="2"/>
      </rPr>
      <t>Ειδικό βοήθημα μετά από τρίμηνη παραμονή στο Μητρώο Ανέργων</t>
    </r>
    <r>
      <rPr>
        <sz val="9"/>
        <rFont val="Arial"/>
        <family val="2"/>
      </rPr>
      <t>)</t>
    </r>
  </si>
  <si>
    <t>Prestaciones por desempleo de nivel asistencial</t>
  </si>
  <si>
    <t>UI: 45-65 years old; UI and UA exhausted or not eligible; registered unemployed for 12 months; other</t>
  </si>
  <si>
    <t>3 payments 3 months apart</t>
  </si>
  <si>
    <t>Flat rate of EUR 200 per month</t>
  </si>
  <si>
    <t>Flat rate of SEK 365/day</t>
  </si>
  <si>
    <t>E: - not available for under 20 year olds</t>
  </si>
  <si>
    <t>G: + more generous rate for those with children; lone parents may opt for Parenting Payment (Single) instead (see table on family benefits);
G: - individual rate lower for those in couples than for single people</t>
  </si>
  <si>
    <t xml:space="preserve">G: + benefit amount increased by 10% for every dependent family member </t>
  </si>
  <si>
    <t>G: + supplement for each dependent child; 
G: + for dependent spouse.</t>
  </si>
  <si>
    <t>G: + higher rate for couples</t>
  </si>
  <si>
    <t>E: - not available to those aged under 45</t>
  </si>
  <si>
    <t>25 (except if has dependents or unable to work)</t>
  </si>
  <si>
    <t>21 (except in exceptional circumstances)</t>
  </si>
  <si>
    <t>28 (unless married, a single parent, an orhpan, or disabled)</t>
  </si>
  <si>
    <t>Those under 22 receiving YA without upper secondary education must be participating in full-time training or education</t>
  </si>
  <si>
    <t>Have to sign a Participation Agreement that sets out employment assistance activities (e.g. looking for work, improving skills)</t>
  </si>
  <si>
    <t>Must be available for labor market/ activation measures (see also column [22])</t>
  </si>
  <si>
    <t>Behavioural requirements may be applied also to other adults in the household</t>
  </si>
  <si>
    <t>Job-search and work-availability obligations extend also to other adult household members unless they are in particular and certifiable circumstances (e.g. carers, disabled, in full-time education)</t>
  </si>
  <si>
    <t>If employed must work more than 2/3 of standard working hours (though in some cases part-time is allowed)</t>
  </si>
  <si>
    <t xml:space="preserve">Job-search and work-availability obligations extend also to claimant's spouse </t>
  </si>
  <si>
    <t>Each family member has to be active in supporting themselves</t>
  </si>
  <si>
    <t>Partner and parents of the claimant are required to support the claimant as needed if possible</t>
  </si>
  <si>
    <t xml:space="preserve">Unemployed must register with the territorial unit of the Employment Agency at least 6 months before filing application for social support and not have refused job offers </t>
  </si>
  <si>
    <t>Municipal with national guidelines</t>
  </si>
  <si>
    <t>Energy Supplement</t>
  </si>
  <si>
    <t>Allowances for housing and regularly-recurring special needs</t>
  </si>
  <si>
    <t xml:space="preserve">Housing allowance </t>
  </si>
  <si>
    <r>
      <t>Housing benefit provided through subsistence benefit (</t>
    </r>
    <r>
      <rPr>
        <i/>
        <sz val="9"/>
        <rFont val="Arial"/>
        <family val="2"/>
      </rPr>
      <t>toimetulekutoetus</t>
    </r>
    <r>
      <rPr>
        <sz val="9"/>
        <rFont val="Arial"/>
        <family val="2"/>
      </rPr>
      <t>)</t>
    </r>
  </si>
  <si>
    <t>Additional allowances for housing and healthcare expenses.</t>
  </si>
  <si>
    <t xml:space="preserve">Holiday allowance </t>
  </si>
  <si>
    <t>Housing allowance, heating and electricity allowance</t>
  </si>
  <si>
    <t>Housing supplement</t>
  </si>
  <si>
    <t>Housing allowance, supplements for extraordinary needs, care and assistance (including childcare) and disability.</t>
  </si>
  <si>
    <t>Earnings fully disregarded for first 2 months after job entry (if signed social contract)</t>
  </si>
  <si>
    <t xml:space="preserve">No, but benefit increased by 28% if claimant working 60 to 128 hours per month, 56% if more than 128 hours; by 25% for another adult if they work 60 to 128 hours per month and 49% if more than 128 hours </t>
  </si>
  <si>
    <t>100% 
For those entering work, 0% in months 1-2 and 50% in months 3-6</t>
  </si>
  <si>
    <t xml:space="preserve">Benefit not reduced for first three months of new employment </t>
  </si>
  <si>
    <r>
      <t xml:space="preserve">0% in first three months of new employment (see earnings disregard)
Generally those in work receive the </t>
    </r>
    <r>
      <rPr>
        <i/>
        <sz val="9"/>
        <rFont val="Arial"/>
        <family val="2"/>
      </rPr>
      <t>prime d'activité</t>
    </r>
    <r>
      <rPr>
        <sz val="9"/>
        <rFont val="Arial"/>
        <family val="2"/>
      </rPr>
      <t xml:space="preserve"> rather than RSA, see employment-related provisions sheet</t>
    </r>
  </si>
  <si>
    <t>60% for lone parents and those aged 55 or over
62.5% for couples aged under 55 with one child
67.5% for couples aged under 55 with two or more children
70% for those without children aged under 55</t>
  </si>
  <si>
    <t>100%
For those entering work, 0% for first 2 months (see column [16])</t>
  </si>
  <si>
    <t>100% for first six months, then 75%</t>
  </si>
  <si>
    <t>G: - lower benefit amount for those aged under 30</t>
  </si>
  <si>
    <t>G: + higher rates for older children</t>
  </si>
  <si>
    <t>G: - lower rates for those aged under 26 without children</t>
  </si>
  <si>
    <t>G: + more generous rates and means test for those aged 55 or over;
G: - for those aged under 25</t>
  </si>
  <si>
    <t>G: + higher rates for those aged under 20 or over 40</t>
  </si>
  <si>
    <t>G: - lower rates for those aged under 21</t>
  </si>
  <si>
    <t>G: - lower benefit rate for those aged under 25 without children or not fulfilling integration or work requirements</t>
  </si>
  <si>
    <t>G: + higher rate for children aged over 14</t>
  </si>
  <si>
    <t>G: + single people aged 60 or over entitled to higher rate after receiving support for 9 continuous months</t>
  </si>
  <si>
    <t>G: - lower rate for second and subsequent children</t>
  </si>
  <si>
    <r>
      <t>Housing benefit for recipients of unemployment benefit II (</t>
    </r>
    <r>
      <rPr>
        <i/>
        <sz val="9"/>
        <rFont val="Arial"/>
        <family val="2"/>
      </rPr>
      <t>Kosten der Unterkunft</t>
    </r>
    <r>
      <rPr>
        <sz val="9"/>
        <rFont val="Arial"/>
        <family val="2"/>
      </rPr>
      <t>)</t>
    </r>
  </si>
  <si>
    <r>
      <t>Child allowance (</t>
    </r>
    <r>
      <rPr>
        <i/>
        <sz val="9"/>
        <rFont val="Arial"/>
        <family val="2"/>
      </rPr>
      <t>קצבת ילדים</t>
    </r>
    <r>
      <rPr>
        <sz val="9"/>
        <rFont val="Arial"/>
        <family val="2"/>
      </rPr>
      <t>)</t>
    </r>
  </si>
  <si>
    <r>
      <t>Child allowance (</t>
    </r>
    <r>
      <rPr>
        <i/>
        <sz val="9"/>
        <rFont val="Arial"/>
        <family val="2"/>
      </rPr>
      <t>קצבת ילדים</t>
    </r>
    <r>
      <rPr>
        <sz val="9"/>
        <rFont val="Arial"/>
        <family val="2"/>
      </rPr>
      <t>) - Large family supplement</t>
    </r>
  </si>
  <si>
    <r>
      <t>Study grant (</t>
    </r>
    <r>
      <rPr>
        <i/>
        <sz val="9"/>
        <rFont val="Arial"/>
        <family val="2"/>
      </rPr>
      <t>מענק לימודים</t>
    </r>
    <r>
      <rPr>
        <sz val="9"/>
        <rFont val="Arial"/>
        <family val="2"/>
      </rPr>
      <t>)</t>
    </r>
  </si>
  <si>
    <r>
      <t xml:space="preserve">Child benefit (based on law </t>
    </r>
    <r>
      <rPr>
        <i/>
        <sz val="9"/>
        <rFont val="Arial"/>
        <family val="2"/>
      </rPr>
      <t>Algemene Kinderbijslagwet</t>
    </r>
    <r>
      <rPr>
        <sz val="9"/>
        <rFont val="Arial"/>
        <family val="2"/>
      </rPr>
      <t>, AKW)</t>
    </r>
  </si>
  <si>
    <r>
      <t xml:space="preserve">Additional child benefit (based on law </t>
    </r>
    <r>
      <rPr>
        <i/>
        <sz val="9"/>
        <rFont val="Arial"/>
        <family val="2"/>
      </rPr>
      <t>Wet op het kindgebonden budget</t>
    </r>
    <r>
      <rPr>
        <sz val="9"/>
        <rFont val="Arial"/>
        <family val="2"/>
      </rPr>
      <t>, WKB)</t>
    </r>
  </si>
  <si>
    <r>
      <t xml:space="preserve">Additional child benefit (based on law </t>
    </r>
    <r>
      <rPr>
        <i/>
        <sz val="9"/>
        <rFont val="Arial"/>
        <family val="2"/>
      </rPr>
      <t>Wet op het kindgebonden budget</t>
    </r>
    <r>
      <rPr>
        <sz val="9"/>
        <rFont val="Arial"/>
        <family val="2"/>
      </rPr>
      <t>, WKB) - supplement for children between 12 and 17 years</t>
    </r>
  </si>
  <si>
    <r>
      <t xml:space="preserve">Additional child benefit (based on law </t>
    </r>
    <r>
      <rPr>
        <i/>
        <sz val="9"/>
        <rFont val="Arial"/>
        <family val="2"/>
      </rPr>
      <t>Wet op het kindgebonden budget</t>
    </r>
    <r>
      <rPr>
        <sz val="9"/>
        <rFont val="Arial"/>
        <family val="2"/>
      </rPr>
      <t>, WKB) - supplement for lone parents</t>
    </r>
  </si>
  <si>
    <r>
      <t>Family benefit (</t>
    </r>
    <r>
      <rPr>
        <i/>
        <sz val="9"/>
        <rFont val="Arial"/>
        <family val="2"/>
      </rPr>
      <t>Месечна помощ за дете до завършване на средно образование, но не повече от 20-
годишна възраст</t>
    </r>
    <r>
      <rPr>
        <sz val="9"/>
        <rFont val="Arial"/>
        <family val="2"/>
      </rPr>
      <t>)</t>
    </r>
  </si>
  <si>
    <r>
      <t>First grade school allowance (</t>
    </r>
    <r>
      <rPr>
        <i/>
        <sz val="9"/>
        <rFont val="Arial"/>
        <family val="2"/>
      </rPr>
      <t>Целева помощ за ученици</t>
    </r>
    <r>
      <rPr>
        <sz val="9"/>
        <rFont val="Arial"/>
        <family val="2"/>
      </rPr>
      <t>)</t>
    </r>
  </si>
  <si>
    <r>
      <t>Subsidy for stay-at-home parent (</t>
    </r>
    <r>
      <rPr>
        <i/>
        <sz val="9"/>
        <rFont val="Arial"/>
        <family val="2"/>
      </rPr>
      <t>Novčana pomoć za roditelja odgojitelja</t>
    </r>
    <r>
      <rPr>
        <sz val="9"/>
        <rFont val="Arial"/>
        <family val="2"/>
      </rPr>
      <t>), Zagreb</t>
    </r>
  </si>
  <si>
    <t>6 to 15</t>
  </si>
  <si>
    <t>3 to 20</t>
  </si>
  <si>
    <t xml:space="preserve">6 to 18 </t>
  </si>
  <si>
    <t>At least 3 children</t>
  </si>
  <si>
    <t>18 (no limit)</t>
  </si>
  <si>
    <t>Activity tested if youngest child aged 6 or over</t>
  </si>
  <si>
    <t>Recipient of family allowance</t>
  </si>
  <si>
    <t xml:space="preserve">Family must be recipient of unemployment benefit II, social assistance in case of old-age or partial reduction in earning capacity, supplementary child allowance or housing allowance;
Child must attend a general school or vocational training school </t>
  </si>
  <si>
    <t>Lone parent
Must meet with PES to identify and access supports to prepare for full-time employment</t>
  </si>
  <si>
    <t>At least 3 children
Must receive subsistence benefit (for example income support or alimony payments)</t>
  </si>
  <si>
    <t>At least 4 children</t>
  </si>
  <si>
    <t>Recipient of child benefit with income below a certain ceiling</t>
  </si>
  <si>
    <t>Lone parent receiving child benefit with income below a certain ceiling</t>
  </si>
  <si>
    <t>Lone parent
Maintenance from absent parent not paid or paid late</t>
  </si>
  <si>
    <t>If absent parent has not paid alimony for more than 3 months in a row</t>
  </si>
  <si>
    <t>One parent has no regular employment and takes care of at least 3 children; children do not attend kindergarten</t>
  </si>
  <si>
    <t>no benefit for only child, + for second and third child, 0 thereafter</t>
  </si>
  <si>
    <t>+ for second and third child, 0 thereafter</t>
  </si>
  <si>
    <t>+ for 2nd to 4th child, -- thereafter</t>
  </si>
  <si>
    <t>0 for third and fourth child, -- thereafter</t>
  </si>
  <si>
    <t>+ for up to 4 children, 0 thereafter</t>
  </si>
  <si>
    <t>Zero</t>
  </si>
  <si>
    <t>Yes, same as under unemployment benefit II (see unemployment assistance and social assistance tables)</t>
  </si>
  <si>
    <t>Benefit fully withdrawn when income exceeds threshold</t>
  </si>
  <si>
    <t>Supplement withdrawn if income exceeds threshold</t>
  </si>
  <si>
    <t>100% for the means-test against the income of children aged 19 or over</t>
  </si>
  <si>
    <t>Benefit fully withdrawn when net taxable income exceeds a threshold which varies by family size</t>
  </si>
  <si>
    <t>Benefit withdrawn if eligibility conditions not fulfuilled</t>
  </si>
  <si>
    <t>Yes, same as under unemployment benefit II (see unemployment assistance and social assistance sheets)</t>
  </si>
  <si>
    <t>Varies by family size and income</t>
  </si>
  <si>
    <t>See social assistancesheet</t>
  </si>
  <si>
    <t>See social assistance sheet</t>
  </si>
  <si>
    <t>Varies by number of children:
15.98% for one-child families
21.06% if two or more children</t>
  </si>
  <si>
    <t>Benefit fully withdrawn if gross income per family member above threshold</t>
  </si>
  <si>
    <r>
      <t>In-work benefit (</t>
    </r>
    <r>
      <rPr>
        <i/>
        <sz val="9"/>
        <rFont val="Arial"/>
        <family val="2"/>
      </rPr>
      <t>prime d'activité</t>
    </r>
    <r>
      <rPr>
        <sz val="9"/>
        <rFont val="Arial"/>
        <family val="2"/>
      </rPr>
      <t>)</t>
    </r>
  </si>
  <si>
    <r>
      <t>In work benefit (</t>
    </r>
    <r>
      <rPr>
        <i/>
        <sz val="9"/>
        <rFont val="Arial"/>
        <family val="2"/>
      </rPr>
      <t>Beneficcju ta’ Waqt l-Impjieg</t>
    </r>
    <r>
      <rPr>
        <sz val="9"/>
        <rFont val="Arial"/>
        <family val="2"/>
      </rPr>
      <t>) paid to families, depends on household composition and income</t>
    </r>
  </si>
  <si>
    <t>Reduced social security contribution rates</t>
  </si>
  <si>
    <t>Re-employment provision in unemployment benefit</t>
  </si>
  <si>
    <t>Reduced social security contributions</t>
  </si>
  <si>
    <t>Re-employment provision in social assistance benefit</t>
  </si>
  <si>
    <t xml:space="preserve">Targeted wastable tax credit </t>
  </si>
  <si>
    <t>Higher rates of social assistance benefit</t>
  </si>
  <si>
    <t xml:space="preserve">Long-term unemployed lone parents taking up at least half-time work on a permanent contract </t>
  </si>
  <si>
    <t>Low earners</t>
  </si>
  <si>
    <t>Social assistance recipients starting employment (assistance activity) or training, or changing employment</t>
  </si>
  <si>
    <t>Unemployment benefit (UB) recipients moving into half-time work</t>
  </si>
  <si>
    <t xml:space="preserve">Families moving into work and off an unemployment benefit or One Parent Family Payment </t>
  </si>
  <si>
    <t>Low-income working families with children</t>
  </si>
  <si>
    <t>Social assistance benefit recipients moving into work</t>
  </si>
  <si>
    <t>Working lone parents and partner with lowest income in two-earner couple with children</t>
  </si>
  <si>
    <t xml:space="preserve">Working low-income lone parents </t>
  </si>
  <si>
    <t>Unemployment insurance benefit recipients moving into work and earning less than unemployment benefit</t>
  </si>
  <si>
    <t>Working social assistance benefit recipients</t>
  </si>
  <si>
    <t>Supplement to social assistance benefit</t>
  </si>
  <si>
    <t>Activation allowance in social assistance</t>
  </si>
  <si>
    <t>Benefit fully withdrawn if earnings exceed threshold</t>
  </si>
  <si>
    <t>Up to 12 months</t>
  </si>
  <si>
    <t>Low-earning families</t>
  </si>
  <si>
    <t>UI benefit recipients moving into work</t>
  </si>
  <si>
    <t>Unemployment benefit recipients moving into work</t>
  </si>
  <si>
    <t>Yes, child aged up to 11</t>
  </si>
  <si>
    <t>Yes, at least 20 hours per week (10 for those with severe disability)</t>
  </si>
  <si>
    <t>Yes, at least half-time</t>
  </si>
  <si>
    <t>Yes, at least 19 hours per week or 38 hours per fortnight</t>
  </si>
  <si>
    <t>Yes, at least 20 hours per week</t>
  </si>
  <si>
    <t>Yes, less than full-time</t>
  </si>
  <si>
    <t>Yes, at least minimum monthly wage or minimum hourly pay</t>
  </si>
  <si>
    <t>Previous unemployment insurance or assistance benefit</t>
  </si>
  <si>
    <t>Retain previous social assistance benefit amount for 3 months</t>
  </si>
  <si>
    <t>50% of previous social assistance benefit</t>
  </si>
  <si>
    <t>During first year of employment out of unemployment 50% of earnings from the new job are disregarded rather than 20%</t>
  </si>
  <si>
    <t>7.65% without children;
15.98% with one child;
21.06% with 2 or more children</t>
  </si>
  <si>
    <t>7.65% without children;
34% with one child;
40% with 2 children;
45% with 3 or more children</t>
  </si>
  <si>
    <t>Not paid if earnings higher than twice the monthly minimum wage or the minimum hourly pay</t>
  </si>
  <si>
    <t>G: + longer benefit duration for those aged 50 or over (up to 11 months)</t>
  </si>
  <si>
    <t>G: + duration longer for those with 25+ years of contribution (up to 12 months), and those aged over 50 with 25+ years of contributions (up to 25 months); 
G: - duration shorted for those with less than 15 years of contributions;
E: + shorter contribution requirement for those aged under 30</t>
  </si>
  <si>
    <t>50% of remaining UI entitlements paid as a lump sum or pro-rata until the expire of UI.</t>
  </si>
  <si>
    <t>Minimum wage</t>
  </si>
  <si>
    <t>Re-employment allowance (Обезщетение за безработица на лица наети на непълно работно време)</t>
  </si>
  <si>
    <t xml:space="preserve">Reduced basic unemployment allowance </t>
  </si>
  <si>
    <t>Unemployment benefit recipients moving into work and working less than 20 hours per week.</t>
  </si>
  <si>
    <t>Yes, less than 20 hours per week</t>
  </si>
  <si>
    <t>Benefit entitlements reduced 1 to 1 with any additional earnings from employment</t>
  </si>
  <si>
    <t>gross personal earnings from employment</t>
  </si>
  <si>
    <t>UI</t>
  </si>
  <si>
    <t>When earnings reach the level of UI entitlements.</t>
  </si>
  <si>
    <t>Re-employment allowance (Saisyusyoku teate)</t>
  </si>
  <si>
    <t>Unemployment benefit recipients moving into work with at least one third of unemployment benefit entitlement remaining and working more than 20 hours per week</t>
  </si>
  <si>
    <t>With more than 2/3 (1/3) of the benefit duration remaining: 70% (60%) of the remaining benefit.</t>
  </si>
  <si>
    <t>Into-work benefit (lump sum when moving into work)</t>
  </si>
  <si>
    <t>Yes, the benefit is paid until UI expires</t>
  </si>
  <si>
    <t>Employee bonus</t>
  </si>
  <si>
    <t>Low-paid employees</t>
  </si>
  <si>
    <t>Personal taxable income</t>
  </si>
  <si>
    <t>Social Assistance benefit recipients who move into work</t>
  </si>
  <si>
    <t>gross earnings from employment</t>
  </si>
  <si>
    <t>Tapering of Benefits scheme</t>
  </si>
  <si>
    <t>Social assistance and unemployment benefit recipients who take up employment</t>
  </si>
  <si>
    <t>Yes, the benefit expires after 3 years</t>
  </si>
  <si>
    <t>65% of out of work benefit during the first year. 45% during the secon year, and 25% during the third year.</t>
  </si>
  <si>
    <t>Eligibility only for those with earnings below the full-time minimum wage</t>
  </si>
  <si>
    <t>Yes, eligibility only for those with earnings equal or above the full-time minimum wage</t>
  </si>
  <si>
    <t>Unemployment Indemnity (Indemnizatia de somaj)</t>
  </si>
  <si>
    <t>Yes, until the unemployment benefit expires</t>
  </si>
  <si>
    <t>Guaranteed minimum income (Schema privind venitul minim garantat</t>
  </si>
  <si>
    <t>Families on social assistance where at least one household member works</t>
  </si>
  <si>
    <t>15% of social assistance benefit entitlements</t>
  </si>
  <si>
    <t>When family income is above the SA eligibility threshold.</t>
  </si>
  <si>
    <t>E+C: 468 days in 33 months</t>
  </si>
  <si>
    <t>E + C: 420 hours in 1 year (required hours of employment is a function of the regional monthly unemployment rate)</t>
  </si>
  <si>
    <t>10.4 (45 weeks)</t>
  </si>
  <si>
    <t>6.4 (138 working days)</t>
  </si>
  <si>
    <t xml:space="preserve">Between 80% and 42% depending on age and level of reference earnings </t>
  </si>
  <si>
    <t>5. CAN:  The duration of Employment Insurance (EI) payments depends on the unemployment rate in the relevant EI region. The duration shown here relates to the unemployment rate of Ontario.</t>
  </si>
  <si>
    <t xml:space="preserve"> 12 (within a 24 month period)</t>
  </si>
  <si>
    <t>G: + benefit floor is 100% of minimum wage for married persons and couples living together (as opposed for 70% singles)</t>
  </si>
  <si>
    <t>Unemployment Insurance</t>
  </si>
  <si>
    <t>C: 130 days or 910 hours of work within past 24 months</t>
  </si>
  <si>
    <t>E: at least 6 months (with at least 80 hours per month) in last 12, or 480 hours in 6 conituous months (with at least 50 hours per month);
C: member of insurance fund for at least 12 months</t>
  </si>
  <si>
    <t>13.8 (60 weeks), then job and development guarantee programme for 21.8 (90 weeks)</t>
  </si>
  <si>
    <t>Benefit not paid for days worked.
The benefit is taxable.</t>
  </si>
  <si>
    <t>6 (renewable for 6 month periods indefinitely)</t>
  </si>
  <si>
    <t>Flat rate of EUR 16.74 net/ day</t>
  </si>
  <si>
    <t>Full cumulation for first 3 months when taking up a new job, then benefit fully withdrawn.
Benefit is reduced is monthly resources pass a threshold (EUR 669.60 for singles and EUR 1339.20 for couples).
The benefit is taxable.</t>
  </si>
  <si>
    <r>
      <rPr>
        <i/>
        <sz val="9"/>
        <rFont val="Arial"/>
        <family val="2"/>
      </rPr>
      <t>Revenu de Moyens d'Existence et d'integration</t>
    </r>
    <r>
      <rPr>
        <sz val="9"/>
        <rFont val="Arial"/>
        <family val="2"/>
      </rPr>
      <t xml:space="preserve"> (often referred to as Minimex)</t>
    </r>
    <r>
      <rPr>
        <i/>
        <sz val="9"/>
        <rFont val="Arial"/>
        <family val="2"/>
      </rPr>
      <t/>
    </r>
  </si>
  <si>
    <t>There exist measures to support the accessibility of so-called "social" housing, with rents reduced according to the income of the tenants.</t>
  </si>
  <si>
    <t>Federal housing benefit not modelled</t>
  </si>
  <si>
    <t>The three major federal rental assistance programs are: 1) public housing; 2) project-based Section 8; 3) tenant-based Section 8 vouchers.Given long waiting periods for some of these benefits and the level of discretion in their admission, they are not covered in TaxBEN. 
Some states provide housing assistance for very low income households.</t>
  </si>
  <si>
    <t>Special housing allowance under social assistance (Særlig støtte): families eligible if both spouses on social assistance or unemployment insurance benefits. Tops up regular housing benefit. After 3 months sum of social assistance and housing allowance cannot be higher than unemployment benefit. In addition, there is an overall cap on social assistance, including both special and regular housing benefits.</t>
  </si>
  <si>
    <t>60% of rent up to a maximum amount minus 18% of income above a threshold that varies according to family size. However, for families without children the benefit can never exceed 15% of the rent.</t>
  </si>
  <si>
    <t>סיוע בשכר דירה</t>
  </si>
  <si>
    <t>The “subvention de loyer” concerns households (applicant must be 18 years old and more) living in Luxembourg with low income and who rent or wish to rent a dwelling on the private market (households who rent social housing are excluded from this benefit). Furthermore, the rent must exceed more than 25% of the income and the applicant must not be owner of a dwelling in Luxembourg or abroad.</t>
  </si>
  <si>
    <t>It is possible to recieve REVIS social assistance and housing benefits concurrently.</t>
  </si>
  <si>
    <t>Bostadsbidrag</t>
  </si>
  <si>
    <t xml:space="preserve">Long-term unemployed lone parent taking up at least part-time work on a permanent contract </t>
  </si>
  <si>
    <t>Belgium (Walonne)</t>
  </si>
  <si>
    <t>Belgium (Bruxelles)</t>
  </si>
  <si>
    <t>Belgium (Germanophone)</t>
  </si>
  <si>
    <t xml:space="preserve"> + (18-24 years old)</t>
  </si>
  <si>
    <t>Belgium (Flandres)</t>
  </si>
  <si>
    <t>+ for 3rd child and thereafter</t>
  </si>
  <si>
    <t>1st threshold: EUR 51 (1st and 2nd child); EUR 81.60 (3rd child);
2nd threshold: EUR 61.20 (3rd child)</t>
  </si>
  <si>
    <t>1st threshold: EUR 40.80 (1 child); EUR 71.40 (2 children); EUR 112.20 (3 and more);
2nd threshold: EUR 25.50 (2 children); EUR 73.44 (3 and more)</t>
  </si>
  <si>
    <t>1st threshold: EUR 55;
2nd threshold: EUR 25</t>
  </si>
  <si>
    <t>1st threshold: EUR 20;
2nd threshold: EUR 10</t>
  </si>
  <si>
    <t>Canada Child Benefit (CCB)</t>
  </si>
  <si>
    <t>7% and 3.2% for one-child families, increasing rates for larger families</t>
  </si>
  <si>
    <r>
      <rPr>
        <i/>
        <sz val="9"/>
        <rFont val="Arial"/>
        <family val="2"/>
      </rPr>
      <t>Ontario Child Benefit</t>
    </r>
    <r>
      <rPr>
        <sz val="9"/>
        <rFont val="Arial"/>
        <family val="2"/>
      </rPr>
      <t xml:space="preserve"> (OCB)</t>
    </r>
  </si>
  <si>
    <t>Advance payment of child support (forskudsvis udbetalt børnebidrag)</t>
  </si>
  <si>
    <t xml:space="preserve">Ordinary child allowance (ordinært børnetilskud) and lone parent extra child allowance (ekstra børnetilskud) </t>
  </si>
  <si>
    <t>Temporary child benefit</t>
  </si>
  <si>
    <t>Persons affected by cap on social assistance</t>
  </si>
  <si>
    <t>Green check</t>
  </si>
  <si>
    <t>0; benefit given for up to 2 children</t>
  </si>
  <si>
    <t>Universal non-wastable tax credit</t>
  </si>
  <si>
    <t>At least 3 children **</t>
  </si>
  <si>
    <t>At least 2 children *</t>
  </si>
  <si>
    <t>6 to 14</t>
  </si>
  <si>
    <t>Recipients can take up part-time work and retain benefits under certain conditions. Up to a maximum of EUR 1593.81/month and 80% of full-time hours.</t>
  </si>
  <si>
    <t>Benefits are reduced by 50% of every dollar earned, up to 90% of reference earnings. After the 90% threshold, they are reduced by 100% of every additional dollar of earnings.</t>
  </si>
  <si>
    <t>Possible when working reduced hours of less than 4.5 days per week; paid on the basis of the member’s individual rate of unemployment benefits; max. 30 weeks within a period of 104 weeks.</t>
  </si>
  <si>
    <t>Permitted up to 70% of reference earnings, 110 hours of work per month and a duration of 16 months; benefit reduced in line with ratio to reference earnings.</t>
  </si>
  <si>
    <t>If current earnings below reference earnings, benefit is difference between current earnings and 75% of reference earnings. Otherwise no benefit payable.</t>
  </si>
  <si>
    <t>100% of earned income is withdrawan beyond a disregard of 10% of benefit amount.</t>
  </si>
  <si>
    <t xml:space="preserve">Weekly benefit amount reduced by 50 cents for every dollar earned during that week; ineligible to benefits if earnings more than 1.5 times weekly benefit amount.
</t>
  </si>
  <si>
    <t>Benefit provision for specific groups:
Eligibility (E), duration (D) or generosity (G) varies by …</t>
  </si>
  <si>
    <t>Legal behavioural requirements (if reported by countries)</t>
  </si>
  <si>
    <t>National or sub-national policy (region modelled in TaxBEN)</t>
  </si>
  <si>
    <t>D: +/- lower maximum duration for those aged under 35 years, higher for those aged 45 or older</t>
  </si>
  <si>
    <t>D: + longer maximum duration if 3 or more dependents</t>
  </si>
  <si>
    <t xml:space="preserve">D: + 450 day maximum duration for recipients with children
</t>
  </si>
  <si>
    <t>D: - maximum duration of 75 days for formerly part-time employed</t>
  </si>
  <si>
    <t>D: + longer maximum duration if aged 55 or over;
D: - shorter maximum duration if aged below 25 without children</t>
  </si>
  <si>
    <t>D &amp; E: + longer duration and less restrictive eligibility contitions for those aged 53 and over</t>
  </si>
  <si>
    <t xml:space="preserve">D: + option to prolong the benefit period by up to 1 year by working during the benefit period
G: - lower minimum benefit for unemployed directly after graduation and lower benefit for those aged 25 without sufficient education
G: - lower maximum benefit for those aged 60-67 who have contributed to an early retirement scheme </t>
  </si>
  <si>
    <t>G: + For those with dependents - Higher benefit floor (from commencement) and replacement rate (from 2nd year) 
G: - For those with a non-dependent spouse - Lower benefit floor (from commencement) and replacement rate (from 2nd year)</t>
  </si>
  <si>
    <t>G: - if aged 19-21: benefit of 70% of minimum wage, - if aged under 18: 40% of minimum wage if education not completed; 
D: - if aged below 21: benefit is payable after a waiting period of 26 or 39 weeks;
D: + longer benefit duration if aged 50 plus and 20 years of contributions</t>
  </si>
  <si>
    <r>
      <t>D: +/- benefit duration varies by contribution record;
D: + extended duration for unemployed aged between 60 and legal retirement age</t>
    </r>
    <r>
      <rPr>
        <i/>
        <sz val="9"/>
        <rFont val="Arial"/>
        <family val="2"/>
      </rPr>
      <t/>
    </r>
  </si>
  <si>
    <t>G: - benefit replacement rate falls more quickly for those aged under 25 without children (20 weeks rather than 40 weeks)</t>
  </si>
  <si>
    <r>
      <t>Child allowance (</t>
    </r>
    <r>
      <rPr>
        <i/>
        <sz val="9"/>
        <rFont val="Arial"/>
        <family val="2"/>
      </rPr>
      <t>Barnbidrag</t>
    </r>
    <r>
      <rPr>
        <sz val="9"/>
        <rFont val="Arial"/>
        <family val="2"/>
      </rPr>
      <t>)</t>
    </r>
  </si>
  <si>
    <t>Tax credit for children</t>
  </si>
  <si>
    <t xml:space="preserve">United States
</t>
  </si>
  <si>
    <t>Minimex: 100%</t>
  </si>
  <si>
    <t>All except family benefits, refundable child tax credit, and other in-kind social provisions</t>
  </si>
  <si>
    <t>Regional (Ontario)</t>
  </si>
  <si>
    <r>
      <t xml:space="preserve">Canada </t>
    </r>
    <r>
      <rPr>
        <vertAlign val="superscript"/>
        <sz val="9"/>
        <rFont val="Arial"/>
        <family val="2"/>
      </rPr>
      <t>(6)</t>
    </r>
  </si>
  <si>
    <t>CAD 200 / month</t>
  </si>
  <si>
    <t>E: - reduced if received benefit for 1 year in previous 3 and not worked minimum of 225 hours in past 12 months</t>
  </si>
  <si>
    <t>Earnings disregard of up to DKK 27.84 per hour worked for maximum of 160 hours per month per person</t>
  </si>
  <si>
    <t>25 (or less if lone parent)</t>
  </si>
  <si>
    <t>Income support benefit (גמלה להבטחת הכנסה)</t>
  </si>
  <si>
    <t>Revenu minimum garanti (REVIS)</t>
  </si>
  <si>
    <t>Cantonal with national guidelines (Zurich)</t>
  </si>
  <si>
    <t>Canada Workers Benefit (CWB)</t>
  </si>
  <si>
    <t xml:space="preserve">20% 
</t>
  </si>
  <si>
    <t>Between 12.8% and 34% as earnings rise</t>
  </si>
  <si>
    <t>Earnings up to half the minimum wage are permitted (the benefit is suspended); benefit is revoked if earnings beyond this limit</t>
  </si>
  <si>
    <t>No regular employment permitted, suspension of benefit for short-term (&lt;120 days) and seasonal employment</t>
  </si>
  <si>
    <t>NASpI payments are suspended if the jobseeker takes up a temporary employment of no more than 6 months and the expected annual taxable earnings from this job are above EUR 8,000. If taxable earnings are below EUR 8,000 a reduced benefit amount is still payable independently of the contract duration. The reduced benefit amount is equal to the original benefit amount minus 80% of the taxable earnings expected to be earned between the beginning of the new job and the end of the fiscal year (or the UI entitlements)</t>
  </si>
  <si>
    <t xml:space="preserve">E + C: The applicant must have been insured for a period of more than 12 months, with more than 11 days per month, over 2 years before unemployment. Applicants who are unemployed as a result of bankruptcy or dismissal must have been insured for a period of more than 6 months over 1 year before unemployment. </t>
  </si>
  <si>
    <t>3 to 12 months depending to the period of insured employment, the age of the recipient and the reason for leaving employment. For a 40 years old perosn with an interrupted employment record of 22 years, the maximum duration is 9 months.</t>
  </si>
  <si>
    <t>The reference earnings is the total amount of gross earnings, excluding bonuses, paid over the previous 6 months and divided by 180.</t>
  </si>
  <si>
    <t>None permitted, but re-employment allowance gives recipients a proportion of their remaining benefit entitlement as a lump sum (check worksheet 'Employment-related provisions')</t>
  </si>
  <si>
    <t>E + C: 9 out of last 24 months, or 6 out of last 24 months for individuals aged under 30.</t>
  </si>
  <si>
    <t>Benefit is proportionate with working hours: full withdrawal at 20 hours per week. Since 2018, if the individual begins a full-time job (40 hours per week) before having exhausted their unemployment insurance benfit, they are still entitled to 20% of the last gross payment they received until their benefit would have expired or until 12 months, whichever is shorter.</t>
  </si>
  <si>
    <t>Poistenie v nezamestnanosti</t>
  </si>
  <si>
    <t>E + C: 24 out of last 48 months</t>
  </si>
  <si>
    <t>Benefit reduced in proportion with working hours, full withdrawal when working more than half-time over a period of 14 days</t>
  </si>
  <si>
    <t>C: Insurance instalments must have been made for at least 12 months out of the last 18 months.</t>
  </si>
  <si>
    <t>6 (156 days)</t>
  </si>
  <si>
    <t xml:space="preserve">For the Unemployment Benefit: gross individual earnings. 
For the Special Unemployment Benefit: gross household earnings minus employee social security contributions.  </t>
  </si>
  <si>
    <t>The benefit is fully withdrawn if the jobseeker takes up employment. However, recipients of the Special Unemployment Benefit who move into employment with earnings equal to at least the national full-time minimum wage are eligible to apply for the 'Tapering of Benefits scheme' (see employment-related provisions' for details).</t>
  </si>
  <si>
    <t>G: + the benefit is increased by a share of the average gross basic salary earned in the last 12 months of contributions that depends on the period of contributions:
- 3% for at least 3 years of contributions;
- 5% for at least 5 years of contributions;
- 7% for at least 7 years of contributions;
- 10% for at least 10 years of contributionss.</t>
  </si>
  <si>
    <t>Allowance for living (Příspěvek na živobytí)</t>
  </si>
  <si>
    <r>
      <rPr>
        <i/>
        <sz val="9"/>
        <rFont val="Arial"/>
        <family val="2"/>
      </rPr>
      <t>Reddito di Cittadinanza</t>
    </r>
    <r>
      <rPr>
        <sz val="9"/>
        <rFont val="Arial"/>
        <family val="2"/>
      </rPr>
      <t xml:space="preserve"> (RdC)</t>
    </r>
  </si>
  <si>
    <t>Yes, depending on the personalized ‘activation plan’</t>
  </si>
  <si>
    <t>Yes, housing benefit supplements for rented accommodations.</t>
  </si>
  <si>
    <t>All other means-tested benefits with the exclusion of the disability allowance.</t>
  </si>
  <si>
    <t xml:space="preserve">G: + higher rates for households with only persons of 67 years old or above
</t>
  </si>
  <si>
    <t>E: - maximum benefit duration is 18 months, renewable for multiple times for additional 12 months, but after a waiting period of 1 months.</t>
  </si>
  <si>
    <t>E: - no eligibility if residency in the country is less than 10 years (the  two before the claim must be spent continuously in the country).</t>
  </si>
  <si>
    <t>Temporary assistance for term end; Winter supplementary assistance; housing assistance; Supplementary child assistance; Supplementary lone parent assistance</t>
  </si>
  <si>
    <t>No, but being in the register of jobseekers grants eligibility for the activation allowance</t>
  </si>
  <si>
    <t>25% of earnings net of taxes and social security contributions (50% if a special allowance is granted to a member of the household)</t>
  </si>
  <si>
    <t>100%, after considering the 25% of earnings disregards</t>
  </si>
  <si>
    <t xml:space="preserve">G: + higher rates if working: benefit increased by 26% if claimant working 60 to 128 hours per month, 51% if more than 128 hours; by 13% for another adult if they work 60 to 128 hours per month and 26% if more than 128 hours </t>
  </si>
  <si>
    <t>Social assistance recipient of working age must have been registered unemployed for at least six months before filing the application for social support. There are specific housing conditions regarding the number of rooms relative to the family size.</t>
  </si>
  <si>
    <t>Yes: 'Social assistance for heating' increase the amount for a single person (column 10) up to 7.1% of the AW.</t>
  </si>
  <si>
    <t>18</t>
  </si>
  <si>
    <t>No. Entitlements are increased by 15% if at least one family member is employed</t>
  </si>
  <si>
    <t>Ghajnuna Socjali</t>
  </si>
  <si>
    <t>Benefit is not compatible with work. However, lone parents can work without losing eligibility as long as the sum of gross earnings and social assistance does not exceed the national minimum wage.</t>
  </si>
  <si>
    <t>None. For those who take up employment 20% of the new earnings are disregarded. The duration of the disregard applies until the end of the fiscal year plus 12 more months. thereis also an exemption of social contributions for those who take up permanent employment. This exemption lasts for 18 months minus the number of months of benefit receipt before taking up employment. \The minimum duration of the exemption cannot be less than 5 months and cannot be higher than EUR 780 per month.</t>
  </si>
  <si>
    <t>100%. The withdrawal rate for those who take up employment is less than 100% due to the earnings disregards (see column 16)</t>
  </si>
  <si>
    <t>Commonwealth Rent Assistance (CRA)</t>
  </si>
  <si>
    <t xml:space="preserve">Paid to eligible individuals and families who rent in the private rental market and community housing and are recipients of social security pensions or benefits and/or receiving more than the minimum rate of Family Tax Benefit (FTB) Part A. Benefit amount 75% of rent above threshold until maximum reached. Benefit withdrawn after unemployment benefits fully withdrawn for those without children, and alongside FTB Part A for those with children. </t>
  </si>
  <si>
    <r>
      <t>Housing Allowance (</t>
    </r>
    <r>
      <rPr>
        <i/>
        <sz val="9"/>
        <rFont val="Arial"/>
        <family val="2"/>
      </rPr>
      <t>Příspěvek na bydlení</t>
    </r>
    <r>
      <rPr>
        <sz val="9"/>
        <rFont val="Arial"/>
        <family val="2"/>
      </rPr>
      <t>)</t>
    </r>
  </si>
  <si>
    <r>
      <t>Housing supplement (</t>
    </r>
    <r>
      <rPr>
        <i/>
        <sz val="9"/>
        <rFont val="Arial"/>
        <family val="2"/>
      </rPr>
      <t>Doplatek na bydlení</t>
    </r>
    <r>
      <rPr>
        <sz val="9"/>
        <rFont val="Arial"/>
        <family val="2"/>
      </rPr>
      <t>)</t>
    </r>
  </si>
  <si>
    <t>The housing supplement is the amount that remains after subtracting from the living minimum amount the relevant net household income minus the reasonable housing costs plus the housing allowance and the allowance for living. In practice:
Housing supplement = (reasonable housing costs – Housing Allowance) – (relevant household income + allowance for living – Living Minimum)</t>
  </si>
  <si>
    <t>Rent supplements are normally calculated to ensure that a person, after the payment of rent (up to a limit), has an income equal to the rate of supplementary welfare assistance (SWA) appropriate to their family circumstances, minus a weekly minimum contribution payable from their own resources. The weekly minimum contribution is €30 for a single adult household and €40 for couples. Eligibility is determined by the loss of employment and by not being entitled to the Housing Assistance Payment (HAP).</t>
  </si>
  <si>
    <t>No, depending on eligibility people can receive either the Housing Assistance Paymentor this benefit.</t>
  </si>
  <si>
    <t>Rent supplement for social assistance recipients, young adults rent incentive (next row)</t>
  </si>
  <si>
    <t>Refoundable tax credit for rented accommodations</t>
  </si>
  <si>
    <t>The amount depends on the household’s gross taxable income. Two income thresholds are used: EUR 15 493.71 (y1) and EUR 30 987.41 (y2). The maximum tax credit is for incomes below y1. the amount if halved for incomes between y1 and y2. No tax credit for incomes above y2</t>
  </si>
  <si>
    <t>Rent support in Italy is managed at the regional level. Regional programmes are funded mainly by the National Fund for Rental Support. In 2020 the Government did not allocate resources to this fund. However, some regions provide rent support with their own funds. Lazio regions did not operate any regional rent support programme in 2020.</t>
  </si>
  <si>
    <t xml:space="preserve">Entitlements depend on the claimant’s household income and household size. The claimant must pay 20% of the rent. If the claimant’s ability to pay is less than 20% of the rent, then they are entitled to HB up to 80% of the full rent. </t>
  </si>
  <si>
    <t>Housing allowance (part of the Assistance in material need)</t>
  </si>
  <si>
    <t>The housing allowance is part of the Assistance in material need, and it's paid for each apartment, family house, or other facility designed for housing regardless the number of households living there.</t>
  </si>
  <si>
    <t>No national housing benefit programmes for rented accommodations. Only persons renting public (state or communal) owned accommodations may receive regular monthly housing assitance if:they meet the following requirements: 1) income in the previous month is up to 250% of DMI (75 BGN); 2) they are either orphans under 25 years of age, or lone persons over 70 years of age, or lone parents.</t>
  </si>
  <si>
    <t>Housing benefit on privately rented dwellings</t>
  </si>
  <si>
    <t>Amount depends on both the annual household income and the rent paid.</t>
  </si>
  <si>
    <t xml:space="preserve">Basic Supplementary Welfare Allowance (SWA) </t>
  </si>
  <si>
    <t>100%, no eligibility if the recipient works for more than 30 hours per week</t>
  </si>
  <si>
    <t>Jobseeker’s Benefit, Jobseeker’s Allowance, Jobseeker’s Transitional Payment, One-Parent Family Payment and Working Family Payment. Child benefit is excluded.</t>
  </si>
  <si>
    <t>Youngest child up to 7 (included)</t>
  </si>
  <si>
    <r>
      <t>Child allowance (</t>
    </r>
    <r>
      <rPr>
        <i/>
        <sz val="9"/>
        <rFont val="Arial"/>
        <family val="2"/>
      </rPr>
      <t>Přídavek na dítě</t>
    </r>
    <r>
      <rPr>
        <sz val="9"/>
        <rFont val="Arial"/>
        <family val="2"/>
      </rPr>
      <t>)</t>
    </r>
  </si>
  <si>
    <r>
      <t>Parental allowance (</t>
    </r>
    <r>
      <rPr>
        <i/>
        <sz val="9"/>
        <rFont val="Arial"/>
        <family val="2"/>
      </rPr>
      <t>Rodičovský příspěvek</t>
    </r>
    <r>
      <rPr>
        <sz val="9"/>
        <rFont val="Arial"/>
        <family val="2"/>
      </rPr>
      <t>)</t>
    </r>
  </si>
  <si>
    <t xml:space="preserve">The parent should provide full-time regular care personally. Attendance at pre-school is allowed until 92 hours per month for a child up to the age of 2, while for older children the time spent at a nursery is not relevant for eligibility </t>
  </si>
  <si>
    <t>18 (20)</t>
  </si>
  <si>
    <t>Regular child protection allowance  (Rendszeres gyermekvédelmi kedvezmény)</t>
  </si>
  <si>
    <t>The per capita monthly family income should not exceed HUF 38,475. In the case of a single-parent family, families of disabled children, and families where the child is in education and above 18, the latter amount is HUF 41,325.</t>
  </si>
  <si>
    <t>Child care allowance (Gyermekgondozást segítő ellátás ‘GYES’)</t>
  </si>
  <si>
    <t>0 for maximum two children at the same time</t>
  </si>
  <si>
    <t>Child raising support (Gyermeknevelési támogatás)</t>
  </si>
  <si>
    <t>Three or more children under the age of 18</t>
  </si>
  <si>
    <r>
      <t>Family tax base allowance (</t>
    </r>
    <r>
      <rPr>
        <i/>
        <sz val="9"/>
        <rFont val="Arial"/>
        <family val="2"/>
      </rPr>
      <t>családi kedvezmény</t>
    </r>
    <r>
      <rPr>
        <sz val="9"/>
        <rFont val="Arial"/>
        <family val="2"/>
      </rPr>
      <t>)</t>
    </r>
  </si>
  <si>
    <t>+ for second and third child, -- after the third child</t>
  </si>
  <si>
    <t>Youngest child must be above 7 and under 14</t>
  </si>
  <si>
    <r>
      <t>Large Family allowance (</t>
    </r>
    <r>
      <rPr>
        <i/>
        <sz val="9"/>
        <rFont val="Arial"/>
        <family val="2"/>
      </rPr>
      <t>Assegno alle famiglie numerose</t>
    </r>
    <r>
      <rPr>
        <sz val="9"/>
        <rFont val="Arial"/>
        <family val="2"/>
      </rPr>
      <t xml:space="preserve">) </t>
    </r>
  </si>
  <si>
    <t xml:space="preserve">At least three children under 18 living in the household. 'ISEE' indicator (indicator of equivalent household economic situation') below a certain threshold. </t>
  </si>
  <si>
    <t>Yes. ISEE indicator includes 20% of household wealth (excluding the value of the main residence)</t>
  </si>
  <si>
    <r>
      <t>Family allowance (</t>
    </r>
    <r>
      <rPr>
        <i/>
        <sz val="9"/>
        <rFont val="Arial"/>
        <family val="2"/>
      </rPr>
      <t>Assegno al nucleo Familiare</t>
    </r>
    <r>
      <rPr>
        <sz val="9"/>
        <rFont val="Arial"/>
        <family val="2"/>
      </rPr>
      <t>)</t>
    </r>
  </si>
  <si>
    <t>18 (21)</t>
  </si>
  <si>
    <t>At least 70% of household earnings must be from employment or unemployment (or old-age pensions for previous employees). Amounts depends on number of effective days of work (but not hours of work per day).</t>
  </si>
  <si>
    <t>Lower rate if income exceeds threshold. The income threshold is based on gross annual income minus the employment income deduction minus JPY 80000.</t>
  </si>
  <si>
    <t>2.29231% for main benefit, addition for second child withdrawn at a rate of 0.35385%, addition for third and subsequent children withdrawn at a rate of 0.21189%
Benefit fully withdrawn if income exceeds higher income threshold that varies by family size.</t>
  </si>
  <si>
    <t>Lone parent working at least half-time after the child is 1 year old</t>
  </si>
  <si>
    <t>Child not in public kindergarten full-time</t>
  </si>
  <si>
    <r>
      <t xml:space="preserve">Parent allowance </t>
    </r>
    <r>
      <rPr>
        <i/>
        <sz val="9"/>
        <rFont val="Arial"/>
        <family val="2"/>
      </rPr>
      <t>(foreldrefradrag)</t>
    </r>
  </si>
  <si>
    <t>- for the second child, 0 for each subsequent child</t>
  </si>
  <si>
    <t>16 (25)</t>
  </si>
  <si>
    <t>-: the credit halves for children above 6 years old</t>
  </si>
  <si>
    <r>
      <t>Alimony replacement benefit (</t>
    </r>
    <r>
      <rPr>
        <i/>
        <sz val="9"/>
        <rFont val="Arial"/>
        <family val="2"/>
      </rPr>
      <t>Náhradné výživné</t>
    </r>
    <r>
      <rPr>
        <sz val="9"/>
        <rFont val="Arial"/>
        <family val="2"/>
      </rPr>
      <t>)</t>
    </r>
  </si>
  <si>
    <t>3.3 times the subsistence minimum for lone parents</t>
  </si>
  <si>
    <t xml:space="preserve"> 0 in lower income brackets, + in the two highest income brackets</t>
  </si>
  <si>
    <t>0 in lower income brackets, + in the two highest income brackets</t>
  </si>
  <si>
    <t>Conditional Cash Transfer (CCT) for Education and Health Assistance</t>
  </si>
  <si>
    <t>For the Health Assistance, recipients have to go to the clinic regularly. For the Education assistance, school attendance is required.</t>
  </si>
  <si>
    <t xml:space="preserve">Full withdrawal if the monthly per capita household income is above one third of the net minimum wage </t>
  </si>
  <si>
    <t>+ for 2nd and 3rd child, - for 4th and 5th child, 0 for further children.</t>
  </si>
  <si>
    <r>
      <t>Alimony advance payment (</t>
    </r>
    <r>
      <rPr>
        <i/>
        <sz val="9"/>
        <rFont val="Arial"/>
        <family val="2"/>
      </rPr>
      <t>Изплащане на присъдена издръжка от държавата</t>
    </r>
    <r>
      <rPr>
        <sz val="9"/>
        <rFont val="Arial"/>
        <family val="2"/>
      </rPr>
      <t>)</t>
    </r>
  </si>
  <si>
    <t>Children's allowance</t>
  </si>
  <si>
    <t>15 (21)</t>
  </si>
  <si>
    <r>
      <t>Monthly state allowance for children (</t>
    </r>
    <r>
      <rPr>
        <i/>
        <sz val="9"/>
        <rFont val="Arial"/>
        <family val="2"/>
      </rPr>
      <t>Alocaţia lunară de stat pentru copii</t>
    </r>
    <r>
      <rPr>
        <sz val="9"/>
        <rFont val="Arial"/>
        <family val="2"/>
      </rPr>
      <t>)</t>
    </r>
  </si>
  <si>
    <t>17 (no limit)</t>
  </si>
  <si>
    <t>Into-work benefit for recipients of unemployment insurance benefit</t>
  </si>
  <si>
    <t>into work benefit</t>
  </si>
  <si>
    <t>UI benefit amount minus 80% of the expected taxable earnings earned between the beginning of the new job and the end of the fiscal year (or the end of UI if the benefit expires before)</t>
  </si>
  <si>
    <t>Into-work benefit for recipients of social assistance</t>
  </si>
  <si>
    <t>Yes: not less than 12 months but no more than 24 (depending on when during the year the person moved into work)</t>
  </si>
  <si>
    <t>Benefit provided in terms of (1) earnings disregards (20%) when assessing SA entitlements, 2) exemption from social security contributions (up to EUR 780 per month)</t>
  </si>
  <si>
    <t>Benefit is maximum for earnings above the eligibility threshold.</t>
  </si>
  <si>
    <t>Individual gross earnings net of SSC</t>
  </si>
  <si>
    <t>In 2020, the tax credit is equal to 0 beacuse the income tax base (at the level of the minimum wage) was higher than the basic tax allowance.</t>
  </si>
  <si>
    <t>n.a., above a certain threshold (see column 15), the benefit is ceased.</t>
  </si>
  <si>
    <t xml:space="preserve">Special allowance in social assistance (Osobitný príspevok) </t>
  </si>
  <si>
    <t>Up to 18 months</t>
  </si>
  <si>
    <t>Yes, +26% of benefit amount for first adult if they are working 60 to 128 hours per month, +51% if more than 128 hours
+ 13% of benefit amount for second adult if they are working 60 to 128 hours per month, +26% if more than 128 hours</t>
  </si>
  <si>
    <t xml:space="preserve">No phase-in for single-earner couples and lone parents; stepwise increase for two-earner couples
</t>
  </si>
  <si>
    <t>Stepwise reductions, average rates depend on the family type.</t>
  </si>
  <si>
    <t>Additional EU countries and territories</t>
  </si>
  <si>
    <t>Conditional Cash Transfers. Described in 'Family provisions'</t>
  </si>
  <si>
    <t xml:space="preserve">D: + longer benefit duration if aged 50 or over; 
</t>
  </si>
  <si>
    <t xml:space="preserve">G: + if participation in specific ALMP; 
D: if participation in specific ALMP;
G: + if in need (UI below certain level)
</t>
  </si>
  <si>
    <t>G: + per child supplement</t>
  </si>
  <si>
    <t>Bedarfsorientierte Mindestsicherung / Sozialhilfe</t>
  </si>
  <si>
    <t>Requirement to make use of all other private and/or public entitlements as a primary source of support, asset test</t>
  </si>
  <si>
    <t>Energy support; 
Additional housing support available</t>
  </si>
  <si>
    <t>Young people aged 18 and over must be in education (students / apprentices)</t>
  </si>
  <si>
    <r>
      <t>Child tax credit (</t>
    </r>
    <r>
      <rPr>
        <i/>
        <sz val="9"/>
        <rFont val="Arial"/>
        <family val="2"/>
      </rPr>
      <t>Kinderabsetzbetrag</t>
    </r>
    <r>
      <rPr>
        <sz val="9"/>
        <rFont val="Arial"/>
        <family val="2"/>
      </rPr>
      <t>)</t>
    </r>
  </si>
  <si>
    <t>Recipient of family allowance and lone parent / parent with a low-earning spouse</t>
  </si>
  <si>
    <t>Spouse's earnings up to EUR 6,000 are disregarded</t>
  </si>
  <si>
    <t>The benefit is fully withdrawn if the earnings of the spouse / partner are in excess of the earnings disregard</t>
  </si>
  <si>
    <r>
      <t>Family tax credit (</t>
    </r>
    <r>
      <rPr>
        <i/>
        <sz val="9"/>
        <rFont val="Arial"/>
        <family val="2"/>
      </rPr>
      <t>Familienbonus Plus</t>
    </r>
    <r>
      <rPr>
        <sz val="9"/>
        <rFont val="Arial"/>
        <family val="2"/>
      </rPr>
      <t>)</t>
    </r>
  </si>
  <si>
    <t>na</t>
  </si>
  <si>
    <t>Those returning to work who are over 50 and either unemployed for over 90 days or unemployed with low employment opportunities due to ill health or long inactivity</t>
  </si>
  <si>
    <t>D: + duration extended to 15 (18, 24) months if at least 50 (55, 58) years old and at least 30 (36, 48) months of contributions</t>
  </si>
  <si>
    <r>
      <rPr>
        <i/>
        <sz val="9"/>
        <rFont val="Arial"/>
        <family val="2"/>
      </rPr>
      <t>Grundsicherung für Arbeitssuchende / Arbeitslosengeld II</t>
    </r>
    <r>
      <rPr>
        <sz val="9"/>
        <rFont val="Arial"/>
        <family val="2"/>
      </rPr>
      <t xml:space="preserve"> (ALGII; SGBII, "Hartz IV")</t>
    </r>
  </si>
  <si>
    <t xml:space="preserve">G: + child additions varying by age, and supplements for school-aged children;
G: + lone parent supplement
</t>
  </si>
  <si>
    <t>Can be part of the activation agreement if immediate integration into the regular labour market is unlikely and no other appropriate ALMP measure can be offered</t>
  </si>
  <si>
    <t>Education and participation package (see family benefits); specific housing benefit for unemployment benefit II recipients; insurance contributions; additional allowances for specific needs (e.g. disability, pregnancy); one-off benefits</t>
  </si>
  <si>
    <r>
      <t>Note that persons who are not able to work (because of ill-health or age) receive</t>
    </r>
    <r>
      <rPr>
        <i/>
        <sz val="9"/>
        <rFont val="Arial"/>
        <family val="2"/>
      </rPr>
      <t xml:space="preserve"> Sozialgeld</t>
    </r>
    <r>
      <rPr>
        <sz val="9"/>
        <rFont val="Arial"/>
        <family val="2"/>
      </rPr>
      <t xml:space="preserve"> instead of UBII, see footnote 7.</t>
    </r>
  </si>
  <si>
    <r>
      <t>Child benefit (</t>
    </r>
    <r>
      <rPr>
        <i/>
        <sz val="9"/>
        <rFont val="Arial"/>
        <family val="2"/>
      </rPr>
      <t>Kindergeld</t>
    </r>
    <r>
      <rPr>
        <sz val="9"/>
        <rFont val="Arial"/>
        <family val="2"/>
      </rPr>
      <t>)</t>
    </r>
  </si>
  <si>
    <t>Young people aged 21 and over must be in education (students / apprentices)</t>
  </si>
  <si>
    <r>
      <t>Child supplement (</t>
    </r>
    <r>
      <rPr>
        <i/>
        <sz val="9"/>
        <rFont val="Arial"/>
        <family val="2"/>
      </rPr>
      <t>Kinderzuschlag</t>
    </r>
    <r>
      <rPr>
        <sz val="9"/>
        <rFont val="Arial"/>
        <family val="2"/>
      </rPr>
      <t>)</t>
    </r>
  </si>
  <si>
    <t>In receipt of child benefit; family income above minimum and below maximum threshold. The benefit is designed to prevent parents from having to apply for UBII because they raise children</t>
  </si>
  <si>
    <r>
      <t>Child tax allowance (</t>
    </r>
    <r>
      <rPr>
        <i/>
        <sz val="9"/>
        <rFont val="Arial"/>
        <family val="2"/>
      </rPr>
      <t>Kinderfreibetrag</t>
    </r>
    <r>
      <rPr>
        <sz val="9"/>
        <rFont val="Arial"/>
        <family val="2"/>
      </rPr>
      <t>)</t>
    </r>
  </si>
  <si>
    <t>Targeted (high earners)</t>
  </si>
  <si>
    <t xml:space="preserve">If the value of the child tax credit is less than the relief calculated applying the child tax allowance, the taxpayer receives the tax allowance instead of the tax credit </t>
  </si>
  <si>
    <t>Entitlement to the tax allowance or child benefit</t>
  </si>
  <si>
    <r>
      <t>Maintenance advance for lone parents (</t>
    </r>
    <r>
      <rPr>
        <i/>
        <sz val="9"/>
        <rFont val="Arial"/>
        <family val="2"/>
      </rPr>
      <t>Unterhaltsvorschuss</t>
    </r>
    <r>
      <rPr>
        <sz val="9"/>
        <rFont val="Arial"/>
        <family val="2"/>
      </rPr>
      <t>)</t>
    </r>
  </si>
  <si>
    <t xml:space="preserve">Other parent does not regularly pay child maintenance;
To receive maintenance advance, for children between age 12 and 17, the parent must earn at least EUR 600 per month OR the child must no longer be eligible for UBII once in receipt of maintenance advance.
</t>
  </si>
  <si>
    <t>The effective social security contribution rate rises from 3.6% in the "mini-job" zone to 20% at the end of the midi-job zone.</t>
  </si>
  <si>
    <t xml:space="preserve">Th benefit may be accumulated with earnings from part-time work or self-employment if earnings are below the UI amount; in this case UI benefit is equal to the difference between 1.35 times UI benefit and the earnings. </t>
  </si>
  <si>
    <t>D: + benefit duration increases with age.
D: + benefit duration increases with contribution history.</t>
  </si>
  <si>
    <t xml:space="preserve">Subsìdio social de desemprego </t>
  </si>
  <si>
    <t xml:space="preserve">24 for jobseekers who were not entitled to UI, 12 if exhausted UI entitlement period </t>
  </si>
  <si>
    <t>18 with exceptions (e.g. if claimant has children)</t>
  </si>
  <si>
    <t xml:space="preserve">80%, reduced to 50% during the first 12 months after taking up employment
</t>
  </si>
  <si>
    <t>All other benefits except family benefits, disability and long-term care benefits</t>
  </si>
  <si>
    <t xml:space="preserve">This is a scheme for low-income tenants with tenancies signed before 1990, whose rent is being updated by their landlord, in accordance to a change in rental laws in 2006. The amount is the difference between the actual rent and a rent that is affordable to the tenant (based on income and household size). </t>
  </si>
  <si>
    <t>+ for children aged up to 3 years, otherwise 0</t>
  </si>
  <si>
    <t>No (the benefit is tested against all households income, including gross earnings and other benefits)</t>
  </si>
  <si>
    <t>Fully withdrawn once income exceeds threshold</t>
  </si>
  <si>
    <t xml:space="preserve">Universal </t>
  </si>
  <si>
    <t>Non-payable tax credit (thus, tax burden must be higher than tax credit)</t>
  </si>
  <si>
    <r>
      <t>Unemployment insurance (</t>
    </r>
    <r>
      <rPr>
        <i/>
        <sz val="9"/>
        <rFont val="Arial"/>
        <family val="2"/>
      </rPr>
      <t>Subisdio de desemprego</t>
    </r>
    <r>
      <rPr>
        <sz val="9"/>
        <rFont val="Arial"/>
        <family val="2"/>
      </rPr>
      <t>)</t>
    </r>
  </si>
  <si>
    <t>Up to 12 months, but at most the remainder of recipients UI entitlement</t>
  </si>
  <si>
    <t>Yes - full-time work</t>
  </si>
  <si>
    <t>If accept full-time job with lower earnings than unemployment insurance benefit, 50% of unemployment benefit during first six months and 25% in following six months. 
If earnings are less than maximum UI benefit and hours are less than full time, UI benefit = (previous UI benefit*1.35 - income), see Unemployment insurance.</t>
  </si>
  <si>
    <t>100% in case where earnings are more than the UI benefit or hours are less than full time work (in which case the worker may receive cumulative UI benefit, see Unemployment Insurance)</t>
  </si>
  <si>
    <r>
      <t>Social assistance (</t>
    </r>
    <r>
      <rPr>
        <i/>
        <sz val="9"/>
        <rFont val="Arial"/>
        <family val="2"/>
      </rPr>
      <t>Rendimento social de inserção</t>
    </r>
    <r>
      <rPr>
        <sz val="9"/>
        <rFont val="Arial"/>
        <family val="2"/>
      </rPr>
      <t>)</t>
    </r>
  </si>
  <si>
    <t xml:space="preserve">Prestación por desempleo </t>
  </si>
  <si>
    <t>UI: UI exhausted and has family responsibility (without family responsibility if over 45); does not qualify for UI because not enough contributions; over 52 years old; other</t>
  </si>
  <si>
    <t xml:space="preserve">E: + workers who have exhausted their UI benefit are eligible even without family responsibilities, no minimum contribution period for workers over 52;
D: + longer durations for workers over 45 depending on contribuiton record, workers over 52 until statutory retirement age. </t>
  </si>
  <si>
    <t xml:space="preserve">E: + workers under 45 with family responsibilities if they have exhausted their UI benefit
D: + for workers who were not entitled to UI benefits. </t>
  </si>
  <si>
    <t xml:space="preserve">The following groups of workers may be entitled in certain cases (regardless of contribution periods or family situation): Spanish emigrant workers, people released from prison, workers who have (partially) recovered from a disability. </t>
  </si>
  <si>
    <r>
      <t>Renta Activa de Inserción [</t>
    </r>
    <r>
      <rPr>
        <i/>
        <sz val="9"/>
        <rFont val="Calibri"/>
        <family val="2"/>
        <scheme val="minor"/>
      </rPr>
      <t>not modelled in TaxBEN</t>
    </r>
    <r>
      <rPr>
        <i/>
        <sz val="9"/>
        <rFont val="Arial"/>
        <family val="2"/>
      </rPr>
      <t>]</t>
    </r>
  </si>
  <si>
    <t>UI: UI and UA exhausted or not eligible</t>
  </si>
  <si>
    <t xml:space="preserve">26 (younger if they have their own children) </t>
  </si>
  <si>
    <t xml:space="preserve">Most benefits and pension except family benefits. </t>
  </si>
  <si>
    <t>Some regions (including Madrid) operate housing benefit schemes. The tax code has a tax credit for housing expenses on a national level.</t>
  </si>
  <si>
    <r>
      <t>Family benefit (</t>
    </r>
    <r>
      <rPr>
        <i/>
        <sz val="9"/>
        <rFont val="Arial"/>
        <family val="2"/>
      </rPr>
      <t>Prestaciónes familiares</t>
    </r>
    <r>
      <rPr>
        <sz val="9"/>
        <rFont val="Arial"/>
        <family val="2"/>
      </rPr>
      <t>)</t>
    </r>
  </si>
  <si>
    <t>T, except if only source of income, not subject to SSC</t>
  </si>
  <si>
    <t>C: 12 months in the two tax years preceding the tax year of the benefit claim</t>
  </si>
  <si>
    <t xml:space="preserve">Universal Credit </t>
  </si>
  <si>
    <t>409.89/week</t>
  </si>
  <si>
    <t xml:space="preserve">Earnings net of income tax and National Insurance Contributions are subject to a taper rate of 63%. </t>
  </si>
  <si>
    <t>G: - lower benefit amounts for under 25 year-olds</t>
  </si>
  <si>
    <t>G: + higher benefits for children, childcare supplement</t>
  </si>
  <si>
    <t>G:+ additional monthly amount for recipients with limited capability for work</t>
  </si>
  <si>
    <t>18 (with exceptions)</t>
  </si>
  <si>
    <t>Claimant's partner also subject to job search requirements if no dependent children</t>
  </si>
  <si>
    <t>Support for housing costs, see sheet "Housing Benefits"</t>
  </si>
  <si>
    <t>Most benefits, except Child benefit, reduce UC one-for-one basis</t>
  </si>
  <si>
    <t>G:+ higher amounts for those with limited capacity to work</t>
  </si>
  <si>
    <t xml:space="preserve">The benefit covers "eligible rent", which is capped at the Local Housing Allowance rate. This rate determines the appropriate number of bedrooms for a given household, and varies by area. </t>
  </si>
  <si>
    <t xml:space="preserve">Social-Assistance-type benefit that can be received when in-work </t>
  </si>
  <si>
    <t>Low-income workers, lone parents and one earner couples with children</t>
  </si>
  <si>
    <t>Household earnings net of tax and social security contributions, other benefits and pensions</t>
  </si>
  <si>
    <t xml:space="preserve">United 
Kingdom </t>
  </si>
  <si>
    <t xml:space="preserve">5. AUT: benefit rates for city of Vienna. Standard rates in Vienna include a 25% subsidy for housing, which is not included in this table as actual rent is set to zero, except for dependent children. </t>
  </si>
  <si>
    <t>Other benefits are counted towards the means-test unemployment benefit II if they serve the same purpose (secure the recipients' livelihood).</t>
  </si>
  <si>
    <t>Subsidio extraordinario por desempleo [not modelled in TaxBEN]</t>
  </si>
  <si>
    <t>Japan (Tokyo)</t>
  </si>
  <si>
    <t>Difference between the maximum reference housing costs and the household's reference income, multiplied by a coefficient of 0.3 (0.35 in Prague). Results depend on other benefit provisions (e.g. family support) and the difference betwee the housing costs and the 'reasonable' housing costs.</t>
  </si>
  <si>
    <t>15.7% for a single person and 8.76% for a couple with two children (assuming housing costs equal to 20% of the AW). If the housing costs were 50% of the AW, then the maximum benefit amount for a couple with two children would be 32% of the AW.</t>
  </si>
  <si>
    <t>2.93% for a single person. For families with children, this supplement is zero as the family receives support primarily through the hoousing allowance, family benefits and the refoundable family tax credit.</t>
  </si>
  <si>
    <t>E + C: 12 months in last 36 months</t>
  </si>
  <si>
    <t>Gross (s.t. maximum limit)</t>
  </si>
  <si>
    <t>D: - 9 months if contribution record less than 10 years; 6 months if less than 5 years</t>
  </si>
  <si>
    <t>Gross excluding holiday pay, minus a fraction of employee social contributions</t>
  </si>
  <si>
    <t>G: - If employment record less than 3 years, only the basic benefit is paid for the last 100 days;
D: + longer duration for older workers under cetain conditions</t>
  </si>
  <si>
    <t xml:space="preserve">G: + supplement for children under 18 </t>
  </si>
  <si>
    <t>Τακτική Επιδότηση Ανεργίας</t>
  </si>
  <si>
    <t>G: + benefit amount 10% higher for every dependent family member</t>
  </si>
  <si>
    <t>E + C: 3 in last 12 months (reduced benefit); 12 months in last 12 months (full benefit)</t>
  </si>
  <si>
    <t>G: - record of less than 12 months gives eligibilty to reduced flat-rate benefit: from 25% of full benefit for 3 months of  record to 100% for 12 months</t>
  </si>
  <si>
    <t>G: + supplements for children aged under 18</t>
  </si>
  <si>
    <t>From month 7: 27%</t>
  </si>
  <si>
    <t>G: -/+ initial benefit is from 50% to 65% of reference earnings depending on the total previous contribution record</t>
  </si>
  <si>
    <t>Nedarbo socialinio draudimo išmoka</t>
  </si>
  <si>
    <t>D: + duration extended by 2 months for unemployed within 5 years of retirement age</t>
  </si>
  <si>
    <t>E + C: 12 in last 18 months
W: minimum wage</t>
  </si>
  <si>
    <t>6 or 12 [see columns 12-14]</t>
  </si>
  <si>
    <t>If a jobseeker finds a job before exhausting the unemployment benefit, the unemployed can receive an activation allowance together with earnings for a limited period of time [see "Employment-related provisions"]</t>
  </si>
  <si>
    <t>D: 365 days if over 50 years old with 20+ years of employment record
G: - basic amount adjusted with the length of employment record; 80% with less than 5 years, 100% from 5 to 20 years, 120% for more than 20 years.</t>
  </si>
  <si>
    <t>D: 365 days if has a child and is single or the spouse has exhausted the right to unemployment benefit</t>
  </si>
  <si>
    <t>D: - duration 180 days if unemployment rate in the local area does not exceed 150% of the average unemployment rate in the country; 365 days otherwise</t>
  </si>
  <si>
    <t>Unemployment contributions abolished since 2019; benefit financed from taxes; eligiblity is based on employment history</t>
  </si>
  <si>
    <t>E: 9 months in last 24 months</t>
  </si>
  <si>
    <t>Not permitted, except special types of work (e.g. temporary service contract) with income lower than the average unemployment benefit paid in previous year</t>
  </si>
  <si>
    <t>C: 26 weeks
W: 26 times the weekly amount of the basic insurable earnings and 20 times the weekly amount of the basic insurable earnings in the last year</t>
  </si>
  <si>
    <t>G: + supplements for dependent spouse and children (up to a maximum of 2)</t>
  </si>
  <si>
    <t xml:space="preserve">Requirements in terms of previous employment (E), contributions (C), hours of work (H), and earnings (W) </t>
  </si>
  <si>
    <t>Flat rate of EUR 189.10/month</t>
  </si>
  <si>
    <t>Employment is not permitted</t>
  </si>
  <si>
    <t>Flat-rate of EUR 33.66/day</t>
  </si>
  <si>
    <t>E: + no means test for those aged 55 and over</t>
  </si>
  <si>
    <t>G: + child supplements</t>
  </si>
  <si>
    <t>UI: UI received for 12 month and expired, 20-66 years old</t>
  </si>
  <si>
    <t>UI: UI expired and unemployed for 1 month after that</t>
  </si>
  <si>
    <t xml:space="preserve">Lump-sum of EUR 207.61 (based on basic unemployment benefit; lower in case of part-time or low income worker)
</t>
  </si>
  <si>
    <t>Not compatible with unemployment benefit for long-term unemployed</t>
  </si>
  <si>
    <t>E + C: 60 days in the year before unemployment; unemployed for 3 months</t>
  </si>
  <si>
    <t>3 payments of EUR 239.55 each (based on basic unemployment benefit)</t>
  </si>
  <si>
    <t>not applicable</t>
  </si>
  <si>
    <t>Toimetulekutoetus</t>
  </si>
  <si>
    <t>100% of net earnings in months 1-2 and 50% in months 3-6 if starts a new job</t>
  </si>
  <si>
    <t>Unemployment and family benefits included; some minor benefits excluded</t>
  </si>
  <si>
    <t>0% below earnings disregards, 
100% thereafter</t>
  </si>
  <si>
    <t>All benefits included except for (child) disability allowance, pensioner's care allowance, maternity grant, benefits paid when on activation measures</t>
  </si>
  <si>
    <t>Κοινωνικό Εισόδημα Αλληλεγγύης</t>
  </si>
  <si>
    <t>20% of earned income less contributions; income is reassessed every 6 month, taking up employment within this period does not affect benefit amount</t>
  </si>
  <si>
    <t>0% within 6 months after initial assessment; 80% after</t>
  </si>
  <si>
    <t>All benefits included (except foster care, unemployment training programs payment and non-contributory disability benefits)</t>
  </si>
  <si>
    <t xml:space="preserve">adult children up to 25 years attending education and living alone are counted in their parents' household </t>
  </si>
  <si>
    <t xml:space="preserve">Iceland </t>
  </si>
  <si>
    <t>Local (Reykjavik)</t>
  </si>
  <si>
    <t>December bonus of 25% if duration at least 3 months; ad-hoc support for other expenses (e.g. childcare, funeral)</t>
  </si>
  <si>
    <t xml:space="preserve">Lone parent and unemployment benefits included; family and housing benefits excluded </t>
  </si>
  <si>
    <t>G: - lower rate for cohabiting couples and adult children living with parents</t>
  </si>
  <si>
    <t>National guidelines, but municipalities can set higher levels (Riga)</t>
  </si>
  <si>
    <t>Garantētā minimālā ienākuma pabalsts</t>
  </si>
  <si>
    <t>100%
For those entering work 0% below minimum wage in months 1-3</t>
  </si>
  <si>
    <t>Unemployment and family benefits included (except family state benefit, child birth benefit and some other minor benefits)</t>
  </si>
  <si>
    <t xml:space="preserve">municipalities can set higher benefit for children, persons receiving old-age pension or disability pension. </t>
  </si>
  <si>
    <t>Supplement for pupils</t>
  </si>
  <si>
    <t>Unemployment benefit, alimony advance payments included (some minor benefits excluded)</t>
  </si>
  <si>
    <t>All benefits included (except family 500+ benefit, educational supplement and some minor benefits)</t>
  </si>
  <si>
    <t>Zajamčena minimalna naknada</t>
  </si>
  <si>
    <t>Unemployment benefits, subsidy for stay-at-home parent included; child allowance and some other benefits excluded</t>
  </si>
  <si>
    <t>0% up to EUR 50 per month; 60% up to EUR 200; 80% up to EUR 500; 
100% thereafter</t>
  </si>
  <si>
    <t>Unemployment and family benefits included (childbirth and some other benefits excluded)</t>
  </si>
  <si>
    <t>G: + more generous earnings disregards for adult children in work</t>
  </si>
  <si>
    <t>Finland (Helsinki)</t>
  </si>
  <si>
    <t>Επίδομα Στέγασης</t>
  </si>
  <si>
    <t>Standard amount for each family member regardless of housing characteristics. Cannot be higher than the housing costs.</t>
  </si>
  <si>
    <t>Maximum benefit amount dependent on number of dwellers. Reduced by 11% of income above a threshold.</t>
  </si>
  <si>
    <t>Benefit is estimated as difference between housing costs (up to a maximum standard levels) minus net income of claimant above the guaraneteed minimum income. The average housing costs are used as a proxy maximum limit in the model.</t>
  </si>
  <si>
    <t>Būsto nuomos mokesčio dalies kompensacija</t>
  </si>
  <si>
    <t xml:space="preserve">Means-tested support to cover rental expenses. The amount depends on the value of real estate in the area. </t>
  </si>
  <si>
    <t xml:space="preserve">Assistance for housing heating, cold and hot water (Būsto šildymo, geriamojo ir karšto vandens išlaidų kompensacijos) </t>
  </si>
  <si>
    <t xml:space="preserve">Benefit based on the difference between what is considered a reasonable payment for a family and actual housing costs. Housing costs cannot exceed a maximum amount, calculated based on the size of the family and the size of the flat. Families are expected to contribute to their housing costs (10-20%). </t>
  </si>
  <si>
    <t>Additional support for those on social assistance. The minimum standard amount of the benefit is up to half ofof the guaranteed minimum benefit received by the family. Local government can grant a higher amount.</t>
  </si>
  <si>
    <t>Cyprus (Nicosia)</t>
  </si>
  <si>
    <t xml:space="preserve"> + for third and subsequent children</t>
  </si>
  <si>
    <r>
      <t>Large family supplement to child allowance (</t>
    </r>
    <r>
      <rPr>
        <i/>
        <sz val="9"/>
        <rFont val="Arial"/>
        <family val="2"/>
      </rPr>
      <t>lapsetoetus</t>
    </r>
    <r>
      <rPr>
        <sz val="9"/>
        <rFont val="Arial"/>
        <family val="2"/>
      </rPr>
      <t>)</t>
    </r>
  </si>
  <si>
    <t>For families with 3+ children</t>
  </si>
  <si>
    <t xml:space="preserve"> -- for family with 3-6 children; + for 7 children and more</t>
  </si>
  <si>
    <t>Only if the other parent is missing</t>
  </si>
  <si>
    <t>Tax allowance on dependants</t>
  </si>
  <si>
    <t>For working parents starting from the second child</t>
  </si>
  <si>
    <r>
      <t xml:space="preserve">Home care allowance </t>
    </r>
    <r>
      <rPr>
        <i/>
        <sz val="9"/>
        <rFont val="Arial"/>
        <family val="2"/>
      </rPr>
      <t>(lasten kotihoidon tuki)</t>
    </r>
  </si>
  <si>
    <t xml:space="preserve">at least one child is less than 3 years old; a parent takes care of the child at home. </t>
  </si>
  <si>
    <t xml:space="preserve"> - for 3-6 year olds</t>
  </si>
  <si>
    <t xml:space="preserve"> - for second and other children</t>
  </si>
  <si>
    <t>Supplement to home care allowance (lasten kotihoidon tuki)</t>
  </si>
  <si>
    <t xml:space="preserve">a parent takes care of the child at home. </t>
  </si>
  <si>
    <t>Reduced by 7.9-11.5% of reference income above the disregards</t>
  </si>
  <si>
    <t>Municipality supplement  to home care allowance (lasten kotihoidon tuki)</t>
  </si>
  <si>
    <t xml:space="preserve"> a parent takes care of the child at home. </t>
  </si>
  <si>
    <r>
      <t xml:space="preserve">Flexible care allowance </t>
    </r>
    <r>
      <rPr>
        <i/>
        <sz val="9"/>
        <rFont val="Arial"/>
        <family val="2"/>
      </rPr>
      <t>(Joustava hoitoraha)</t>
    </r>
  </si>
  <si>
    <t xml:space="preserve">a parent takes care for a child at home and works no more than 30 hours per week </t>
  </si>
  <si>
    <r>
      <t xml:space="preserve">Partial care allowance </t>
    </r>
    <r>
      <rPr>
        <i/>
        <sz val="9"/>
        <rFont val="Arial"/>
        <family val="2"/>
      </rPr>
      <t>(Osittainen hoitoraha)</t>
    </r>
  </si>
  <si>
    <t>Person liable to pay maintenance payment neglects this duty</t>
  </si>
  <si>
    <r>
      <t>Child allowance (</t>
    </r>
    <r>
      <rPr>
        <i/>
        <sz val="9"/>
        <rFont val="Arial"/>
        <family val="2"/>
      </rPr>
      <t>Επίδομα Παιδιού</t>
    </r>
    <r>
      <rPr>
        <sz val="9"/>
        <rFont val="Arial"/>
        <family val="2"/>
      </rPr>
      <t>)</t>
    </r>
  </si>
  <si>
    <t xml:space="preserve"> + for the third and subsequent child</t>
  </si>
  <si>
    <t xml:space="preserve"> + </t>
  </si>
  <si>
    <t>Reduced by EUR 20 for every EUR 1000 of taxable income above the limit</t>
  </si>
  <si>
    <t>Couples</t>
  </si>
  <si>
    <t xml:space="preserve"> 4% for 1-child families, 6% for 2 children, 8% for 3 or more children
Plus 1.5% for high income</t>
  </si>
  <si>
    <r>
      <t>Supplement for children under 7 to family benefit (</t>
    </r>
    <r>
      <rPr>
        <i/>
        <sz val="9"/>
        <rFont val="Arial"/>
        <family val="2"/>
      </rPr>
      <t>barnabætur</t>
    </r>
    <r>
      <rPr>
        <sz val="9"/>
        <rFont val="Arial"/>
        <family val="2"/>
      </rPr>
      <t>)</t>
    </r>
  </si>
  <si>
    <t>4% plus 1.5% for high income</t>
  </si>
  <si>
    <r>
      <t>Family benefit (</t>
    </r>
    <r>
      <rPr>
        <i/>
        <sz val="9"/>
        <rFont val="Arial"/>
        <family val="2"/>
      </rPr>
      <t>barnabætur</t>
    </r>
    <r>
      <rPr>
        <sz val="9"/>
        <rFont val="Arial"/>
        <family val="2"/>
      </rPr>
      <t>) for lone parents</t>
    </r>
  </si>
  <si>
    <t>+ for third child, no benefit for other children</t>
  </si>
  <si>
    <r>
      <t xml:space="preserve">Childcare benefit </t>
    </r>
    <r>
      <rPr>
        <i/>
        <sz val="9"/>
        <rFont val="Arial"/>
        <family val="2"/>
      </rPr>
      <t>(Bērna kopšanas pabalsts)</t>
    </r>
  </si>
  <si>
    <t>Tax Allowance for dependants</t>
  </si>
  <si>
    <t>one of the parents does not fulfil their obligations</t>
  </si>
  <si>
    <r>
      <t>Child benefit (</t>
    </r>
    <r>
      <rPr>
        <i/>
        <sz val="9"/>
        <rFont val="Arial"/>
        <family val="2"/>
      </rPr>
      <t>išmoka vaikui</t>
    </r>
    <r>
      <rPr>
        <sz val="9"/>
        <rFont val="Arial"/>
        <family val="2"/>
      </rPr>
      <t>) - universal part</t>
    </r>
  </si>
  <si>
    <r>
      <t xml:space="preserve">Supplement to child benefit </t>
    </r>
    <r>
      <rPr>
        <i/>
        <sz val="9"/>
        <rFont val="Arial"/>
        <family val="2"/>
      </rPr>
      <t>(išmoka vaikui)</t>
    </r>
  </si>
  <si>
    <r>
      <t>Family allowance (</t>
    </r>
    <r>
      <rPr>
        <i/>
        <sz val="9"/>
        <rFont val="Arial"/>
        <family val="2"/>
      </rPr>
      <t>zasiłek rodzinny</t>
    </r>
    <r>
      <rPr>
        <sz val="9"/>
        <rFont val="Arial"/>
        <family val="2"/>
      </rPr>
      <t>)</t>
    </r>
  </si>
  <si>
    <t xml:space="preserve"> 0 for the second child; no benefit for other children</t>
  </si>
  <si>
    <r>
      <t>Supplement to family benefit (</t>
    </r>
    <r>
      <rPr>
        <i/>
        <sz val="9"/>
        <rFont val="Arial"/>
        <family val="2"/>
      </rPr>
      <t>zasiłek rodzinny</t>
    </r>
    <r>
      <rPr>
        <sz val="9"/>
        <rFont val="Arial"/>
        <family val="2"/>
      </rPr>
      <t>) for a large family</t>
    </r>
  </si>
  <si>
    <t>3+ children</t>
  </si>
  <si>
    <r>
      <t>Supplement at beginning of the school year to family benefit (</t>
    </r>
    <r>
      <rPr>
        <i/>
        <sz val="9"/>
        <rFont val="Arial"/>
        <family val="2"/>
      </rPr>
      <t>zasiłek rodzinny</t>
    </r>
    <r>
      <rPr>
        <sz val="9"/>
        <rFont val="Arial"/>
        <family val="2"/>
      </rPr>
      <t>)</t>
    </r>
  </si>
  <si>
    <t>for school children</t>
  </si>
  <si>
    <r>
      <t>Supplement to family benefit (</t>
    </r>
    <r>
      <rPr>
        <i/>
        <sz val="9"/>
        <rFont val="Arial"/>
        <family val="2"/>
      </rPr>
      <t>zasiłek rodzinny</t>
    </r>
    <r>
      <rPr>
        <sz val="9"/>
        <rFont val="Arial"/>
        <family val="2"/>
      </rPr>
      <t>) for childcare</t>
    </r>
  </si>
  <si>
    <r>
      <t xml:space="preserve">Family 500 Plus Programme </t>
    </r>
    <r>
      <rPr>
        <i/>
        <sz val="9"/>
        <rFont val="Arial"/>
        <family val="2"/>
      </rPr>
      <t>(Program Rodzina 500 Plus, świadczenie wychowawcze)</t>
    </r>
  </si>
  <si>
    <r>
      <t xml:space="preserve">Benefit “Good start” </t>
    </r>
    <r>
      <rPr>
        <i/>
        <sz val="9"/>
        <rFont val="Arial"/>
        <family val="2"/>
      </rPr>
      <t>(Program “Dobry start”)</t>
    </r>
  </si>
  <si>
    <t>Child tax credit (refundable)</t>
  </si>
  <si>
    <t>0 for first two children, + for third and subsequent</t>
  </si>
  <si>
    <t>For one child - fully withdrawn once income exceeds disregard</t>
  </si>
  <si>
    <r>
      <t>Child allowance (</t>
    </r>
    <r>
      <rPr>
        <i/>
        <sz val="9"/>
        <rFont val="Arial"/>
        <family val="2"/>
      </rPr>
      <t>doplatak za djecu</t>
    </r>
    <r>
      <rPr>
        <sz val="9"/>
        <rFont val="Arial"/>
        <family val="2"/>
      </rPr>
      <t>)</t>
    </r>
  </si>
  <si>
    <t>17(19)</t>
  </si>
  <si>
    <t>Subsistence benefit (toimetulekutoetus)</t>
  </si>
  <si>
    <t>Retain previous social assistance benefit amount for 2 months; in months 3-6 reduced amount</t>
  </si>
  <si>
    <t>Earned income tax allowance (local taxation)</t>
  </si>
  <si>
    <t>Targeted tax allowance</t>
  </si>
  <si>
    <t>51% of gross earnings</t>
  </si>
  <si>
    <t>Earned income tax credit (national taxation)</t>
  </si>
  <si>
    <t>Targeted non-refundable tax credit</t>
  </si>
  <si>
    <r>
      <t xml:space="preserve">Social Solidarity Income </t>
    </r>
    <r>
      <rPr>
        <i/>
        <sz val="9"/>
        <rFont val="Arial"/>
        <family val="2"/>
      </rPr>
      <t>(Κοινωνικό Εισόδημα Αλληλεγγύης)</t>
    </r>
  </si>
  <si>
    <t>Retain previous social assistance benefit up to 6 months</t>
  </si>
  <si>
    <r>
      <t xml:space="preserve">Housing Benefit </t>
    </r>
    <r>
      <rPr>
        <i/>
        <sz val="9"/>
        <rFont val="Arial"/>
        <family val="2"/>
      </rPr>
      <t>(Επίδομα Στέγασης)</t>
    </r>
  </si>
  <si>
    <t>Re-employment provision in housing benefit</t>
  </si>
  <si>
    <t>Housing benefit recipients moving into work</t>
  </si>
  <si>
    <t>Retain previous housing benefit up to 6 months</t>
  </si>
  <si>
    <r>
      <t xml:space="preserve">Additional Social Benefit </t>
    </r>
    <r>
      <rPr>
        <i/>
        <sz val="9"/>
        <rFont val="Arial"/>
        <family val="2"/>
      </rPr>
      <t>(Papildomai skiriama socialinė pašalpa)</t>
    </r>
  </si>
  <si>
    <r>
      <t xml:space="preserve">Activation allowance for recipient of unemployment benefit </t>
    </r>
    <r>
      <rPr>
        <i/>
        <sz val="9"/>
        <rFont val="Arial"/>
        <family val="2"/>
      </rPr>
      <t xml:space="preserve">(Zasiłek dla bezrobotnych) </t>
    </r>
  </si>
  <si>
    <t>half of remaining unemployment benenfit duration</t>
  </si>
  <si>
    <t>50% of previous unemployment benefit</t>
  </si>
  <si>
    <t>T, S (only for health)</t>
  </si>
  <si>
    <t>2. For country-specific information also refer to the country chapters (http://www.oecd.org/social/benefits-and-wages/benefits-and-wages-country-specific-information.htm); for methodogical questions refer to the methodology document (http://www.oecd.org/social/benefits-and-wages/OECD-TaxBEN-methodology-and-manual.pdf).</t>
  </si>
  <si>
    <t>3. The table "Family provisions" includes benefits and provisions for families and lone parents and covers the classical family benefits. It also includes family-specific provisions that work through the tax system (like tax allowances and tax credits).</t>
  </si>
  <si>
    <t>4. The table "Employmentrelated provisions" includes benefits and provisions for the employed. It includes in-work benefits, re-employment allowances, provisions through the tax system (like tax allowances and earned income tax credits), preferential treatment of earnings in the means tests of unemployment and social assistance benefits, and schemes available for working parents.</t>
  </si>
  <si>
    <t>Various provisions for families are conditional on the parents working. Such provisions will show in the table "Family provisions" and the table "Employment-related provisions".</t>
  </si>
  <si>
    <t>Average Wage 2020</t>
  </si>
  <si>
    <t>3.  All amounts are shown on an annualised basis. AW = Average Wage of a full-time private sector employee.</t>
  </si>
  <si>
    <t>4. BEL: Maximum benefit ceiling refers to the first six months of unemployment; benefit floor refers to a flat rate paid from the 5th year of unemployment on.</t>
  </si>
  <si>
    <r>
      <t>Canada</t>
    </r>
    <r>
      <rPr>
        <vertAlign val="superscript"/>
        <sz val="9"/>
        <rFont val="Arial"/>
        <family val="2"/>
      </rPr>
      <t>(5)</t>
    </r>
  </si>
  <si>
    <r>
      <t>United States</t>
    </r>
    <r>
      <rPr>
        <vertAlign val="superscript"/>
        <sz val="9"/>
        <rFont val="Arial"/>
        <family val="2"/>
      </rPr>
      <t>(6)</t>
    </r>
  </si>
  <si>
    <r>
      <t>Malta</t>
    </r>
    <r>
      <rPr>
        <vertAlign val="superscript"/>
        <sz val="9"/>
        <rFont val="Arial"/>
        <family val="2"/>
      </rPr>
      <t>(7)</t>
    </r>
  </si>
  <si>
    <t>7. MLT: Minimum benefit refers to contributory unemployment benefit, maximum benefit to special unemployment benefit</t>
  </si>
  <si>
    <r>
      <t>Where relevant, data refer to a prime-age single individual (40 years old) without children with an uninterrupted employment record of 22 years. Entitlements can differ for other groups of workers, see columns 12-14.</t>
    </r>
    <r>
      <rPr>
        <vertAlign val="superscript"/>
        <sz val="10"/>
        <rFont val="Arial"/>
        <family val="2"/>
      </rPr>
      <t>(1)</t>
    </r>
  </si>
  <si>
    <r>
      <t>Where relevant, data refer to a prime-age single individual (40 years old) without children with an uninterrupted employment record of 22 years. Entitlements can differ for other groups of workers, see columns 11-13.</t>
    </r>
    <r>
      <rPr>
        <vertAlign val="superscript"/>
        <sz val="10"/>
        <rFont val="Arial"/>
        <family val="2"/>
      </rPr>
      <t>(1)</t>
    </r>
  </si>
  <si>
    <r>
      <t>Calculation base</t>
    </r>
    <r>
      <rPr>
        <vertAlign val="superscript"/>
        <sz val="10"/>
        <rFont val="Arial"/>
        <family val="2"/>
      </rPr>
      <t>(2)</t>
    </r>
  </si>
  <si>
    <t xml:space="preserve">i) participation in employment measures: E: + no means test; G: + increased amount
ii) first time entrants to the labour market: G: - reduced amount; D: - 5-month  qualifying period, unless recently graduated </t>
  </si>
  <si>
    <r>
      <t>Spain</t>
    </r>
    <r>
      <rPr>
        <vertAlign val="superscript"/>
        <sz val="9"/>
        <rFont val="Arial"/>
        <family val="2"/>
      </rPr>
      <t>(6)</t>
    </r>
  </si>
  <si>
    <r>
      <t>Minimum income benefits that employ a low-income criterion as the central entitlement condition</t>
    </r>
    <r>
      <rPr>
        <vertAlign val="superscript"/>
        <sz val="12"/>
        <color theme="1"/>
        <rFont val="Arial"/>
        <family val="2"/>
      </rPr>
      <t>(1)</t>
    </r>
  </si>
  <si>
    <t>3. All amounts are shown on an annualised basis. AW = Average Wage of a full-time private sector employee. Actual rent is set to zero. Social assistance per child is calculated as 50% of the difference between the social assistance benefits that accrue to a couple with two children aged four and six and that received by a couple without children. Similarly, child-related payments for lone parents are calculated as 50% of the difference between the social assistance benefits that accrue to a lone parent with two children aged four and six and that received by a single person without children.</t>
  </si>
  <si>
    <t>Regional (Vienna)</t>
  </si>
  <si>
    <t>Regional (Tokyo)</t>
  </si>
  <si>
    <t>Regional (Madrid)</t>
  </si>
  <si>
    <r>
      <t>Description of regular housing benefit</t>
    </r>
    <r>
      <rPr>
        <vertAlign val="superscript"/>
        <sz val="9"/>
        <rFont val="Arial"/>
        <family val="2"/>
      </rPr>
      <t>(2)</t>
    </r>
  </si>
  <si>
    <r>
      <t xml:space="preserve">2. In some countries other schemes exist that aim at specific groups, </t>
    </r>
    <r>
      <rPr>
        <i/>
        <sz val="9"/>
        <rFont val="Arial"/>
        <family val="2"/>
      </rPr>
      <t>e.g.</t>
    </r>
    <r>
      <rPr>
        <sz val="9"/>
        <rFont val="Arial"/>
        <family val="2"/>
      </rPr>
      <t xml:space="preserve"> students, elderly or disabled. They are not included in this table.</t>
    </r>
  </si>
  <si>
    <r>
      <t>Austria</t>
    </r>
    <r>
      <rPr>
        <vertAlign val="superscript"/>
        <sz val="9"/>
        <rFont val="Arial"/>
        <family val="2"/>
      </rPr>
      <t xml:space="preserve">(4) </t>
    </r>
    <r>
      <rPr>
        <sz val="9"/>
        <rFont val="Arial"/>
        <family val="2"/>
      </rPr>
      <t>(Vienna)</t>
    </r>
  </si>
  <si>
    <t>Latvia (Riga)</t>
  </si>
  <si>
    <r>
      <t>Czech Republic</t>
    </r>
    <r>
      <rPr>
        <vertAlign val="superscript"/>
        <sz val="9"/>
        <rFont val="Arial"/>
        <family val="2"/>
      </rPr>
      <t>(5)</t>
    </r>
  </si>
  <si>
    <t>5. CZE: Municipality size of 50 000 to 99 999 inhabitants is chosen.</t>
  </si>
  <si>
    <t xml:space="preserve">3. All amounts are shown on an annualised basis. AW = Average Wage of a full-time private sector employee. If not otherwise specificed, results refer to a couple with two children aged 4 and 6, with annual housing costs equal to 20% of the average wage. </t>
  </si>
  <si>
    <t>Germany (Berlin)</t>
  </si>
  <si>
    <t>New Zealand (Wellington)</t>
  </si>
  <si>
    <t>7. For the Local Housing Allowance in the United Kingdom eligible housing costs for the broad rental market in the Maidstone region are chosen as a reference.</t>
  </si>
  <si>
    <r>
      <t>United Kingdom</t>
    </r>
    <r>
      <rPr>
        <vertAlign val="superscript"/>
        <sz val="9"/>
        <rFont val="Arial"/>
        <family val="2"/>
      </rPr>
      <t>(7)</t>
    </r>
  </si>
  <si>
    <t>Income disregard (annual)</t>
  </si>
  <si>
    <r>
      <t>Family and Lone Parent benefits</t>
    </r>
    <r>
      <rPr>
        <b/>
        <vertAlign val="superscript"/>
        <sz val="14"/>
        <rFont val="Arial"/>
        <family val="2"/>
      </rPr>
      <t>(1)</t>
    </r>
  </si>
  <si>
    <r>
      <t>Benefit amount</t>
    </r>
    <r>
      <rPr>
        <vertAlign val="superscript"/>
        <sz val="9"/>
        <rFont val="Arial"/>
        <family val="2"/>
      </rPr>
      <t>(2)</t>
    </r>
  </si>
  <si>
    <r>
      <t>United States</t>
    </r>
    <r>
      <rPr>
        <vertAlign val="superscript"/>
        <sz val="9"/>
        <rFont val="Arial"/>
        <family val="2"/>
      </rPr>
      <t>(11)</t>
    </r>
  </si>
  <si>
    <t>Canada 
(Ontario)</t>
  </si>
  <si>
    <r>
      <t>Program name (local name in parentheses if available)</t>
    </r>
    <r>
      <rPr>
        <vertAlign val="superscript"/>
        <sz val="9"/>
        <rFont val="Arial"/>
        <family val="2"/>
      </rPr>
      <t>(2)</t>
    </r>
  </si>
  <si>
    <r>
      <t>Employment-conditional benefits, re-employment allowances and additional entitlements for working families in other areas of the benefit system</t>
    </r>
    <r>
      <rPr>
        <b/>
        <vertAlign val="superscript"/>
        <sz val="14"/>
        <rFont val="Arial"/>
        <family val="2"/>
      </rPr>
      <t>(1)</t>
    </r>
  </si>
  <si>
    <t>Income assessment unit</t>
  </si>
  <si>
    <t>2. Working families may also receive support through the benefits described in other sheets, but these are not included here unless families receive a larger amount of benefit if their hours or earnings are above a particular level. Non-general schemes that are specifically targeted towards younger or older age-groups are not shown.</t>
  </si>
  <si>
    <t>3. All amounts are shown on an annualised basis.</t>
  </si>
  <si>
    <r>
      <t>Benefit calculation</t>
    </r>
    <r>
      <rPr>
        <vertAlign val="superscript"/>
        <sz val="9"/>
        <color theme="1"/>
        <rFont val="Arial"/>
        <family val="2"/>
      </rPr>
      <t>(3)</t>
    </r>
  </si>
  <si>
    <r>
      <t>Norway</t>
    </r>
    <r>
      <rPr>
        <vertAlign val="superscript"/>
        <sz val="9"/>
        <rFont val="Arial"/>
        <family val="2"/>
      </rPr>
      <t>(4)</t>
    </r>
  </si>
  <si>
    <t>4. AUS: Recipients of NSA, YA and PP are furthermore entitiled to Clean Energy Advance, Clean Energy Supplement to offset the impacts of carbon pricing introduced in July 2012 and the Income Support bonus to assist with unexpected costs.</t>
  </si>
  <si>
    <t xml:space="preserve">5. DEU: As of 1st January 2005, unemployment assistance and social assistance for persons who are able to work were combined into one benefit, the basic jobseeker's allowance (unemployment benefit II). The benefit is available for persons who are able to work and whose income is not sufficient to secure their own and their family's livelihood. Persons beyond working age or who are not able to work are eligible to social assistance (Sozialhilfe), which is based on the same basic amounts as unemployment benefit II. </t>
  </si>
  <si>
    <t xml:space="preserve">6. ESP: The information refers to a joobseeker aged 45 or older who has exhausted their UI benefit. </t>
  </si>
  <si>
    <r>
      <t>Spain</t>
    </r>
    <r>
      <rPr>
        <sz val="10"/>
        <color theme="1"/>
        <rFont val="Arial"/>
        <family val="2"/>
      </rPr>
      <t/>
    </r>
  </si>
  <si>
    <t>6. USA: The information reflects the situation of the Michigan unemployment benefit scheme. Emergency Unemployment Compensation and Extended Benefits might be paid after exhaustion of regular UI but were not activated in 2020.</t>
  </si>
  <si>
    <t>11. USA: Amounts shown for Supplemental Nutrition Assistance Program (SNAP) only. See sheet "Familiy provisions" table for information on the Temporary Assistance for Needy Families (TANF) programme.</t>
  </si>
  <si>
    <r>
      <t>Ireland</t>
    </r>
    <r>
      <rPr>
        <vertAlign val="superscript"/>
        <sz val="9"/>
        <rFont val="Arial"/>
        <family val="2"/>
      </rPr>
      <t>(5)</t>
    </r>
  </si>
  <si>
    <r>
      <t>United 
Kingdom</t>
    </r>
    <r>
      <rPr>
        <vertAlign val="superscript"/>
        <sz val="9"/>
        <rFont val="Arial"/>
        <family val="2"/>
      </rPr>
      <t>(8)</t>
    </r>
  </si>
  <si>
    <r>
      <t>United 
States</t>
    </r>
    <r>
      <rPr>
        <vertAlign val="superscript"/>
        <sz val="9"/>
        <rFont val="Arial"/>
        <family val="2"/>
      </rPr>
      <t>(9)</t>
    </r>
  </si>
  <si>
    <t xml:space="preserve">5. IRE: Complete phase-out of WFP shown for family with one child. </t>
  </si>
  <si>
    <t>6. ISR: Phase out of non-wastable earned income tax shown for a family with up to two children.</t>
  </si>
  <si>
    <r>
      <t>Ireland</t>
    </r>
    <r>
      <rPr>
        <vertAlign val="superscript"/>
        <sz val="9"/>
        <rFont val="Arial"/>
        <family val="2"/>
      </rPr>
      <t>(6)</t>
    </r>
  </si>
  <si>
    <r>
      <t>Israel</t>
    </r>
    <r>
      <rPr>
        <vertAlign val="superscript"/>
        <sz val="9"/>
        <rFont val="Arial"/>
        <family val="2"/>
      </rPr>
      <t>(7)</t>
    </r>
  </si>
  <si>
    <r>
      <t>United States
(Michigan)</t>
    </r>
    <r>
      <rPr>
        <vertAlign val="superscript"/>
        <sz val="9"/>
        <rFont val="Arial"/>
        <family val="2"/>
      </rPr>
      <t>(9)</t>
    </r>
  </si>
  <si>
    <r>
      <t>United States</t>
    </r>
    <r>
      <rPr>
        <vertAlign val="superscript"/>
        <sz val="9"/>
        <rFont val="Arial"/>
        <family val="2"/>
      </rPr>
      <t>(10)</t>
    </r>
  </si>
  <si>
    <t>6. IRE: Only the child increment and not the parent benefit rate is shown as the maximum benefit for the one-parent family payment and Jobseeker's Transitional Payment.</t>
  </si>
  <si>
    <t>7. ISR: Child allowance for children born on or after 1 June 2003, maximum benefit for a child below age 5.</t>
  </si>
  <si>
    <t xml:space="preserve">8. UK, column 11-15: One-earner family with two children who do not claim support for housing costs. </t>
  </si>
  <si>
    <t>9. USA: TANF rate for family of two, i.e. lone parent with one child.</t>
  </si>
  <si>
    <t>10. USA: Allowance for lone parents assumes lowest credit at the lowest 10% marginal tax rate.</t>
  </si>
  <si>
    <t>Preogramme described in the  section "Social Assistance"</t>
  </si>
  <si>
    <t>Data for 2020 polices are not yet available.</t>
  </si>
  <si>
    <t xml:space="preserve">7. GBR: Maximum amount and phase-out are shown for a one-earner couple with two children. </t>
  </si>
  <si>
    <t xml:space="preserve">8. USA: TANF means test for Michigan, phase-out for a single parent with two children.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</si>
</sst>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0.0%"/>
    <numFmt numFmtId="166" formatCode="0.0"/>
    <numFmt numFmtId="167" formatCode="[$$-409]#,##0"/>
    <numFmt numFmtId="168" formatCode="&quot;€&quot;#,##0"/>
    <numFmt numFmtId="169" formatCode="#,##0\ [$Kč-405]"/>
    <numFmt numFmtId="170" formatCode="[$kr.-406]\ #,##0"/>
    <numFmt numFmtId="171" formatCode="#,##0\ [$Ft-40E]"/>
    <numFmt numFmtId="172" formatCode="#,##0\ [$kr.-40F]"/>
    <numFmt numFmtId="173" formatCode="[$₪-40D]\ #,##0"/>
    <numFmt numFmtId="174" formatCode="[$¥-411]#,##0"/>
    <numFmt numFmtId="175" formatCode="[$₩-412]#,##0"/>
    <numFmt numFmtId="176" formatCode="[$kr-414]\ #,##0"/>
    <numFmt numFmtId="177" formatCode="#,##0\ [$zł-415]"/>
    <numFmt numFmtId="178" formatCode="[$fr.-100C]\ #,##0"/>
    <numFmt numFmtId="179" formatCode="#,##0\ [$₺-41F]"/>
    <numFmt numFmtId="180" formatCode="[$£-809]#,##0"/>
    <numFmt numFmtId="181" formatCode="#,##0\ [$лв.-402]"/>
    <numFmt numFmtId="182" formatCode="#,##0\ [$kn-41A]"/>
    <numFmt numFmtId="183" formatCode="#,##0\ [$lei-418]"/>
    <numFmt numFmtId="184" formatCode="0.000"/>
  </numFmts>
  <fonts count="24" x14ac:knownFonts="1">
    <font>
      <sz val="10"/>
      <color theme="1"/>
      <name val="Arial"/>
      <family val="2"/>
    </font>
    <font>
      <sz val="10"/>
      <color theme="1"/>
      <name val="Arial"/>
      <family val="2"/>
    </font>
    <font>
      <sz val="10"/>
      <color rgb="FF006100"/>
      <name val="Arial"/>
      <family val="2"/>
    </font>
    <font>
      <i/>
      <sz val="9"/>
      <name val="Arial"/>
      <family val="2"/>
    </font>
    <font>
      <sz val="9"/>
      <name val="Arial"/>
      <family val="2"/>
    </font>
    <font>
      <u/>
      <sz val="9"/>
      <color theme="10"/>
      <name val="Arial"/>
      <family val="2"/>
    </font>
    <font>
      <b/>
      <sz val="14"/>
      <name val="Arial"/>
      <family val="2"/>
    </font>
    <font>
      <sz val="14"/>
      <name val="Arial"/>
      <family val="2"/>
    </font>
    <font>
      <sz val="10"/>
      <name val="Arial"/>
      <family val="2"/>
    </font>
    <font>
      <vertAlign val="superscript"/>
      <sz val="10"/>
      <name val="Arial"/>
      <family val="2"/>
    </font>
    <font>
      <b/>
      <sz val="9"/>
      <name val="Arial"/>
      <family val="2"/>
    </font>
    <font>
      <vertAlign val="superscript"/>
      <sz val="9"/>
      <name val="Arial"/>
      <family val="2"/>
    </font>
    <font>
      <u/>
      <sz val="9"/>
      <color rgb="FF0000FF"/>
      <name val="Arial"/>
      <family val="2"/>
    </font>
    <font>
      <sz val="9"/>
      <color theme="1"/>
      <name val="Arial"/>
      <family val="2"/>
    </font>
    <font>
      <b/>
      <sz val="9"/>
      <color indexed="81"/>
      <name val="Tahoma"/>
      <family val="2"/>
    </font>
    <font>
      <sz val="9"/>
      <color indexed="81"/>
      <name val="Tahoma"/>
      <family val="2"/>
    </font>
    <font>
      <i/>
      <sz val="10"/>
      <name val="Arial"/>
      <family val="2"/>
    </font>
    <font>
      <b/>
      <vertAlign val="superscript"/>
      <sz val="14"/>
      <name val="Arial"/>
      <family val="2"/>
    </font>
    <font>
      <vertAlign val="superscript"/>
      <sz val="9"/>
      <color theme="1"/>
      <name val="Arial"/>
      <family val="2"/>
    </font>
    <font>
      <i/>
      <sz val="10"/>
      <color theme="1"/>
      <name val="Arial"/>
      <family val="2"/>
    </font>
    <font>
      <sz val="12"/>
      <color theme="1"/>
      <name val="Arial"/>
      <family val="2"/>
    </font>
    <font>
      <sz val="11"/>
      <color theme="1"/>
      <name val="Times New Roman"/>
      <family val="1"/>
    </font>
    <font>
      <i/>
      <sz val="9"/>
      <name val="Calibri"/>
      <family val="2"/>
      <scheme val="minor"/>
    </font>
    <font>
      <vertAlign val="superscript"/>
      <sz val="12"/>
      <color theme="1"/>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0" borderId="0"/>
    <xf numFmtId="0" fontId="4" fillId="0" borderId="0"/>
  </cellStyleXfs>
  <cellXfs count="672">
    <xf numFmtId="0" fontId="0" fillId="0" borderId="0" xfId="0"/>
    <xf numFmtId="0" fontId="3" fillId="0" borderId="0" xfId="0" applyFont="1" applyFill="1"/>
    <xf numFmtId="0" fontId="4" fillId="0" borderId="0" xfId="0" quotePrefix="1" applyFont="1"/>
    <xf numFmtId="0" fontId="3" fillId="0" borderId="0" xfId="0" applyFont="1" applyAlignment="1">
      <alignment horizontal="left" vertical="top"/>
    </xf>
    <xf numFmtId="0" fontId="3" fillId="0" borderId="0" xfId="0" applyFont="1" applyFill="1" applyAlignment="1">
      <alignment horizontal="left" vertical="center"/>
    </xf>
    <xf numFmtId="0" fontId="5" fillId="3" borderId="0" xfId="3" applyFill="1" applyBorder="1" applyAlignment="1" applyProtection="1">
      <alignment horizontal="left" vertical="center"/>
    </xf>
    <xf numFmtId="0" fontId="4" fillId="0" borderId="0" xfId="0" applyFont="1" applyFill="1" applyAlignment="1">
      <alignment horizontal="left" vertical="center"/>
    </xf>
    <xf numFmtId="0" fontId="4" fillId="0" borderId="1" xfId="0" applyNumberFormat="1" applyFont="1" applyFill="1" applyBorder="1" applyAlignment="1">
      <alignment horizontal="left" vertical="center"/>
    </xf>
    <xf numFmtId="0" fontId="0" fillId="0" borderId="0" xfId="0" applyNumberFormat="1" applyFill="1" applyAlignment="1">
      <alignment horizontal="left" vertical="top"/>
    </xf>
    <xf numFmtId="0" fontId="4" fillId="0" borderId="0" xfId="0" applyNumberFormat="1" applyFont="1" applyFill="1" applyBorder="1"/>
    <xf numFmtId="0" fontId="0" fillId="0" borderId="0" xfId="0" applyNumberFormat="1" applyFill="1"/>
    <xf numFmtId="0" fontId="4" fillId="0" borderId="1" xfId="0" applyNumberFormat="1" applyFont="1" applyFill="1" applyBorder="1"/>
    <xf numFmtId="0" fontId="8" fillId="0" borderId="7" xfId="0" applyFont="1" applyFill="1" applyBorder="1" applyAlignment="1">
      <alignment horizontal="center" vertical="center" wrapText="1"/>
    </xf>
    <xf numFmtId="0" fontId="4" fillId="0" borderId="1" xfId="0" applyFont="1" applyFill="1" applyBorder="1"/>
    <xf numFmtId="0" fontId="8" fillId="0" borderId="1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5" xfId="0" applyFont="1" applyFill="1" applyBorder="1" applyAlignment="1">
      <alignment vertical="top"/>
    </xf>
    <xf numFmtId="9" fontId="4" fillId="0" borderId="0" xfId="1" applyFont="1" applyFill="1" applyBorder="1" applyAlignment="1">
      <alignment horizontal="left" vertical="top" wrapText="1"/>
    </xf>
    <xf numFmtId="9" fontId="4" fillId="0" borderId="9" xfId="1" applyFont="1" applyFill="1" applyBorder="1" applyAlignment="1">
      <alignment horizontal="left" vertical="top" wrapText="1"/>
    </xf>
    <xf numFmtId="0" fontId="10" fillId="0" borderId="0" xfId="4" applyFont="1" applyFill="1" applyBorder="1" applyAlignment="1">
      <alignment vertical="top"/>
    </xf>
    <xf numFmtId="0" fontId="0" fillId="0" borderId="0" xfId="0" applyFill="1" applyBorder="1"/>
    <xf numFmtId="0" fontId="0" fillId="0" borderId="0" xfId="0" applyFill="1"/>
    <xf numFmtId="0" fontId="4" fillId="0" borderId="0" xfId="4" applyFont="1" applyFill="1" applyBorder="1" applyAlignment="1"/>
    <xf numFmtId="0" fontId="4" fillId="0" borderId="0" xfId="0" applyFont="1" applyFill="1" applyAlignment="1">
      <alignment horizontal="left" vertical="top"/>
    </xf>
    <xf numFmtId="0" fontId="4" fillId="0" borderId="0" xfId="4" applyFont="1" applyFill="1" applyBorder="1" applyAlignment="1">
      <alignment vertical="top"/>
    </xf>
    <xf numFmtId="3" fontId="4" fillId="0" borderId="0" xfId="0" applyNumberFormat="1" applyFont="1" applyFill="1" applyBorder="1" applyAlignment="1">
      <alignment horizontal="right" vertical="top" indent="1"/>
    </xf>
    <xf numFmtId="0" fontId="4" fillId="0" borderId="0" xfId="0" applyFont="1" applyFill="1" applyBorder="1" applyAlignment="1">
      <alignment horizontal="left" vertical="center"/>
    </xf>
    <xf numFmtId="0" fontId="4" fillId="0" borderId="0" xfId="0" applyFont="1" applyFill="1" applyBorder="1"/>
    <xf numFmtId="0" fontId="3" fillId="0" borderId="0" xfId="0" applyFont="1" applyFill="1" applyBorder="1"/>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8" xfId="0" applyFont="1" applyFill="1" applyBorder="1"/>
    <xf numFmtId="0" fontId="4" fillId="0" borderId="9" xfId="0" applyFont="1" applyFill="1" applyBorder="1"/>
    <xf numFmtId="1" fontId="4" fillId="0" borderId="8" xfId="1" applyNumberFormat="1" applyFont="1" applyFill="1" applyBorder="1" applyAlignment="1">
      <alignment horizontal="left" vertical="top" wrapText="1"/>
    </xf>
    <xf numFmtId="1" fontId="4" fillId="0" borderId="0" xfId="1" applyNumberFormat="1" applyFont="1" applyFill="1" applyBorder="1" applyAlignment="1">
      <alignment horizontal="left" vertical="top" wrapText="1"/>
    </xf>
    <xf numFmtId="9" fontId="4" fillId="0" borderId="8" xfId="1" applyFont="1" applyFill="1" applyBorder="1" applyAlignment="1">
      <alignment horizontal="left" vertical="top" wrapText="1"/>
    </xf>
    <xf numFmtId="1" fontId="4" fillId="0" borderId="5" xfId="1" applyNumberFormat="1" applyFont="1" applyFill="1" applyBorder="1" applyAlignment="1">
      <alignment horizontal="left" vertical="top" wrapText="1"/>
    </xf>
    <xf numFmtId="1" fontId="3" fillId="0" borderId="5" xfId="1" applyNumberFormat="1" applyFont="1" applyFill="1" applyBorder="1" applyAlignment="1">
      <alignment horizontal="left" vertical="top" wrapText="1"/>
    </xf>
    <xf numFmtId="1" fontId="3" fillId="0" borderId="8" xfId="1" applyNumberFormat="1" applyFont="1" applyFill="1" applyBorder="1" applyAlignment="1">
      <alignment horizontal="left" vertical="top" wrapText="1"/>
    </xf>
    <xf numFmtId="1" fontId="4" fillId="0" borderId="6" xfId="2" applyNumberFormat="1" applyFont="1" applyFill="1" applyBorder="1" applyAlignment="1">
      <alignment horizontal="left" vertical="top" wrapText="1"/>
    </xf>
    <xf numFmtId="1" fontId="4" fillId="0" borderId="7" xfId="2" applyNumberFormat="1" applyFont="1" applyFill="1" applyBorder="1" applyAlignment="1">
      <alignment horizontal="left" vertical="top" wrapText="1"/>
    </xf>
    <xf numFmtId="1" fontId="4" fillId="0" borderId="0" xfId="2" applyNumberFormat="1" applyFont="1" applyFill="1" applyBorder="1" applyAlignment="1">
      <alignment horizontal="left" vertical="top" wrapText="1"/>
    </xf>
    <xf numFmtId="1" fontId="4" fillId="0" borderId="1" xfId="2" applyNumberFormat="1" applyFont="1" applyFill="1" applyBorder="1" applyAlignment="1">
      <alignment horizontal="left" vertical="top"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0" xfId="0" applyNumberFormat="1" applyFont="1" applyFill="1" applyBorder="1" applyAlignment="1">
      <alignment horizontal="left" vertical="top"/>
    </xf>
    <xf numFmtId="0" fontId="10" fillId="0" borderId="0" xfId="0" applyFont="1" applyFill="1" applyBorder="1"/>
    <xf numFmtId="0" fontId="4" fillId="0" borderId="6" xfId="1" applyNumberFormat="1" applyFont="1" applyFill="1" applyBorder="1" applyAlignment="1">
      <alignment horizontal="left" vertical="top" wrapText="1"/>
    </xf>
    <xf numFmtId="0" fontId="4" fillId="0" borderId="7" xfId="1" applyNumberFormat="1" applyFont="1" applyFill="1" applyBorder="1" applyAlignment="1">
      <alignment horizontal="left" vertical="top" wrapText="1"/>
    </xf>
    <xf numFmtId="0" fontId="4" fillId="0" borderId="0"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12" xfId="0" applyFont="1" applyFill="1" applyBorder="1"/>
    <xf numFmtId="0" fontId="4" fillId="0" borderId="14" xfId="0" applyFont="1" applyFill="1" applyBorder="1"/>
    <xf numFmtId="0" fontId="4" fillId="0" borderId="12" xfId="0" applyFont="1" applyFill="1" applyBorder="1"/>
    <xf numFmtId="0" fontId="4" fillId="0" borderId="1" xfId="0" applyFont="1" applyFill="1" applyBorder="1" applyAlignment="1">
      <alignment horizontal="left"/>
    </xf>
    <xf numFmtId="0" fontId="4" fillId="0" borderId="13" xfId="0" applyFont="1" applyFill="1" applyBorder="1"/>
    <xf numFmtId="0" fontId="4" fillId="0" borderId="5" xfId="0" applyFont="1" applyFill="1" applyBorder="1" applyAlignment="1">
      <alignment vertical="top"/>
    </xf>
    <xf numFmtId="1" fontId="4" fillId="0" borderId="15" xfId="1" applyNumberFormat="1" applyFont="1" applyFill="1" applyBorder="1" applyAlignment="1">
      <alignment horizontal="left" vertical="top" wrapText="1"/>
    </xf>
    <xf numFmtId="165" fontId="4" fillId="0" borderId="5" xfId="1" quotePrefix="1" applyNumberFormat="1" applyFont="1" applyFill="1" applyBorder="1" applyAlignment="1">
      <alignment horizontal="center" vertical="top"/>
    </xf>
    <xf numFmtId="0" fontId="4" fillId="0" borderId="5" xfId="0" applyFont="1" applyFill="1" applyBorder="1" applyAlignment="1">
      <alignment vertical="top" wrapText="1"/>
    </xf>
    <xf numFmtId="1" fontId="4" fillId="0" borderId="10" xfId="1" applyNumberFormat="1" applyFont="1" applyFill="1" applyBorder="1" applyAlignment="1">
      <alignment horizontal="left" vertical="top" wrapText="1"/>
    </xf>
    <xf numFmtId="1" fontId="4" fillId="0" borderId="3" xfId="1" applyNumberFormat="1" applyFont="1" applyFill="1" applyBorder="1" applyAlignment="1">
      <alignment horizontal="left" vertical="top" wrapText="1"/>
    </xf>
    <xf numFmtId="1" fontId="4" fillId="0" borderId="2" xfId="1" applyNumberFormat="1" applyFont="1" applyFill="1" applyBorder="1" applyAlignment="1">
      <alignment horizontal="left" vertical="top" wrapText="1"/>
    </xf>
    <xf numFmtId="9" fontId="4" fillId="0" borderId="3" xfId="1" applyFont="1" applyFill="1" applyBorder="1" applyAlignment="1">
      <alignment horizontal="left" vertical="top" wrapText="1"/>
    </xf>
    <xf numFmtId="1" fontId="4" fillId="0" borderId="4" xfId="1" applyNumberFormat="1" applyFont="1" applyFill="1" applyBorder="1" applyAlignment="1">
      <alignment horizontal="left" vertical="top" wrapText="1"/>
    </xf>
    <xf numFmtId="165" fontId="4" fillId="0" borderId="2" xfId="1" quotePrefix="1" applyNumberFormat="1" applyFont="1" applyFill="1" applyBorder="1" applyAlignment="1">
      <alignment horizontal="center" vertical="top"/>
    </xf>
    <xf numFmtId="165" fontId="4" fillId="0" borderId="3" xfId="1" quotePrefix="1" applyNumberFormat="1" applyFont="1" applyFill="1" applyBorder="1" applyAlignment="1">
      <alignment horizontal="center" vertical="top"/>
    </xf>
    <xf numFmtId="1" fontId="3" fillId="0" borderId="15" xfId="1" applyNumberFormat="1" applyFont="1" applyFill="1" applyBorder="1" applyAlignment="1">
      <alignment horizontal="left" vertical="top" wrapText="1"/>
    </xf>
    <xf numFmtId="1" fontId="4" fillId="0" borderId="13" xfId="2" applyNumberFormat="1" applyFont="1" applyFill="1" applyBorder="1" applyAlignment="1">
      <alignment horizontal="left" vertical="top"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xf numFmtId="0" fontId="0"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indent="1"/>
    </xf>
    <xf numFmtId="0" fontId="4" fillId="0" borderId="0" xfId="0" applyFont="1" applyFill="1" applyAlignment="1">
      <alignment horizontal="left"/>
    </xf>
    <xf numFmtId="0" fontId="0" fillId="0" borderId="0" xfId="0" applyFill="1" applyAlignment="1">
      <alignment horizontal="left"/>
    </xf>
    <xf numFmtId="0" fontId="4" fillId="0" borderId="0" xfId="5" applyFont="1" applyFill="1"/>
    <xf numFmtId="0" fontId="4" fillId="0" borderId="0" xfId="5" applyFont="1" applyFill="1" applyBorder="1"/>
    <xf numFmtId="0" fontId="4" fillId="0" borderId="14" xfId="5" applyFont="1" applyFill="1" applyBorder="1" applyAlignment="1">
      <alignment horizontal="center" vertical="center"/>
    </xf>
    <xf numFmtId="0" fontId="4" fillId="0" borderId="0" xfId="5" applyFont="1" applyFill="1" applyBorder="1" applyAlignment="1">
      <alignment horizontal="center" vertical="center" textRotation="90" wrapText="1"/>
    </xf>
    <xf numFmtId="0" fontId="4" fillId="0" borderId="9" xfId="5" applyFont="1" applyFill="1" applyBorder="1" applyAlignment="1">
      <alignment horizontal="center" vertical="center" textRotation="90" wrapText="1"/>
    </xf>
    <xf numFmtId="0" fontId="10" fillId="0" borderId="11" xfId="5" applyFont="1" applyFill="1" applyBorder="1" applyAlignment="1">
      <alignment horizontal="left" vertical="center"/>
    </xf>
    <xf numFmtId="0" fontId="4" fillId="0" borderId="8"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1" xfId="5" applyFont="1" applyFill="1" applyBorder="1"/>
    <xf numFmtId="0" fontId="4" fillId="0" borderId="11" xfId="5" applyFont="1" applyFill="1" applyBorder="1" applyAlignment="1">
      <alignment horizontal="center" vertical="center"/>
    </xf>
    <xf numFmtId="0" fontId="4" fillId="0" borderId="5" xfId="5" applyFont="1" applyFill="1" applyBorder="1" applyAlignment="1">
      <alignment vertical="top"/>
    </xf>
    <xf numFmtId="0" fontId="4" fillId="0" borderId="15" xfId="5" applyFont="1" applyFill="1" applyBorder="1" applyAlignment="1">
      <alignment horizontal="left" vertical="top" wrapText="1"/>
    </xf>
    <xf numFmtId="10" fontId="4" fillId="0" borderId="5" xfId="5" applyNumberFormat="1" applyFont="1" applyFill="1" applyBorder="1" applyAlignment="1">
      <alignment horizontal="center" vertical="top"/>
    </xf>
    <xf numFmtId="10" fontId="4" fillId="0" borderId="6" xfId="5" applyNumberFormat="1" applyFont="1" applyFill="1" applyBorder="1" applyAlignment="1">
      <alignment horizontal="center" vertical="top"/>
    </xf>
    <xf numFmtId="10" fontId="4" fillId="0" borderId="7" xfId="5" applyNumberFormat="1" applyFont="1" applyFill="1" applyBorder="1" applyAlignment="1">
      <alignment horizontal="center" vertical="top"/>
    </xf>
    <xf numFmtId="10" fontId="4" fillId="0" borderId="5" xfId="5" applyNumberFormat="1" applyFont="1" applyFill="1" applyBorder="1" applyAlignment="1">
      <alignment horizontal="left" vertical="top" wrapText="1"/>
    </xf>
    <xf numFmtId="165" fontId="4" fillId="0" borderId="15" xfId="1" applyNumberFormat="1" applyFont="1" applyFill="1" applyBorder="1" applyAlignment="1">
      <alignment horizontal="center" vertical="top" wrapText="1"/>
    </xf>
    <xf numFmtId="10" fontId="4" fillId="0" borderId="15" xfId="5" applyNumberFormat="1" applyFont="1" applyFill="1" applyBorder="1" applyAlignment="1">
      <alignment horizontal="left" vertical="top" wrapText="1"/>
    </xf>
    <xf numFmtId="0" fontId="4" fillId="0" borderId="5" xfId="5" applyFont="1" applyFill="1" applyBorder="1" applyAlignment="1">
      <alignment vertical="top" wrapText="1"/>
    </xf>
    <xf numFmtId="0" fontId="3" fillId="0" borderId="15" xfId="5" applyFont="1" applyFill="1" applyBorder="1" applyAlignment="1">
      <alignment horizontal="left" vertical="top" wrapText="1"/>
    </xf>
    <xf numFmtId="0" fontId="4" fillId="0" borderId="10" xfId="5" applyFont="1" applyFill="1" applyBorder="1" applyAlignment="1">
      <alignment horizontal="left" vertical="top" wrapText="1"/>
    </xf>
    <xf numFmtId="10" fontId="4" fillId="0" borderId="2" xfId="5" applyNumberFormat="1" applyFont="1" applyFill="1" applyBorder="1" applyAlignment="1">
      <alignment horizontal="left" vertical="top"/>
    </xf>
    <xf numFmtId="10" fontId="4" fillId="0" borderId="3" xfId="5" applyNumberFormat="1" applyFont="1" applyFill="1" applyBorder="1" applyAlignment="1">
      <alignment horizontal="center" vertical="top"/>
    </xf>
    <xf numFmtId="10" fontId="4" fillId="0" borderId="4" xfId="5" applyNumberFormat="1" applyFont="1" applyFill="1" applyBorder="1" applyAlignment="1">
      <alignment horizontal="center" vertical="top"/>
    </xf>
    <xf numFmtId="10" fontId="4" fillId="0" borderId="2" xfId="5" applyNumberFormat="1" applyFont="1" applyFill="1" applyBorder="1" applyAlignment="1">
      <alignment horizontal="left" vertical="top" wrapText="1"/>
    </xf>
    <xf numFmtId="9" fontId="4" fillId="0" borderId="10" xfId="1" applyFont="1" applyFill="1" applyBorder="1" applyAlignment="1">
      <alignment horizontal="center" vertical="top" wrapText="1"/>
    </xf>
    <xf numFmtId="10" fontId="4" fillId="0" borderId="10" xfId="5" applyNumberFormat="1" applyFont="1" applyFill="1" applyBorder="1" applyAlignment="1">
      <alignment horizontal="left" vertical="top" wrapText="1"/>
    </xf>
    <xf numFmtId="0" fontId="8" fillId="0" borderId="0" xfId="0" applyFont="1" applyFill="1"/>
    <xf numFmtId="0" fontId="8" fillId="0" borderId="15" xfId="2" applyFont="1" applyFill="1" applyBorder="1" applyAlignment="1">
      <alignment horizontal="left" vertical="top" wrapText="1"/>
    </xf>
    <xf numFmtId="10" fontId="8" fillId="0" borderId="5" xfId="2" applyNumberFormat="1" applyFont="1" applyFill="1" applyBorder="1" applyAlignment="1">
      <alignment horizontal="left" vertical="top" wrapText="1"/>
    </xf>
    <xf numFmtId="0" fontId="4" fillId="0" borderId="0" xfId="0" applyFont="1" applyFill="1" applyAlignment="1">
      <alignment horizontal="center"/>
    </xf>
    <xf numFmtId="0" fontId="4" fillId="0" borderId="7" xfId="0" applyFont="1" applyFill="1" applyBorder="1" applyAlignment="1">
      <alignment vertical="center"/>
    </xf>
    <xf numFmtId="0" fontId="4" fillId="0" borderId="4" xfId="1" applyNumberFormat="1" applyFont="1" applyFill="1" applyBorder="1" applyAlignment="1">
      <alignment horizontal="center" vertical="top" wrapText="1"/>
    </xf>
    <xf numFmtId="9" fontId="4" fillId="0" borderId="9" xfId="1" applyFont="1" applyFill="1" applyBorder="1" applyAlignment="1">
      <alignment horizontal="center" vertical="top" wrapText="1"/>
    </xf>
    <xf numFmtId="0" fontId="4" fillId="0" borderId="9" xfId="1" quotePrefix="1" applyNumberFormat="1" applyFont="1" applyFill="1" applyBorder="1" applyAlignment="1">
      <alignment horizontal="center" vertical="top" wrapText="1"/>
    </xf>
    <xf numFmtId="9" fontId="4" fillId="0" borderId="4" xfId="1" applyFont="1" applyFill="1" applyBorder="1" applyAlignment="1">
      <alignment horizontal="center" vertical="top" wrapText="1"/>
    </xf>
    <xf numFmtId="9" fontId="4" fillId="0" borderId="4" xfId="1" applyFont="1" applyFill="1" applyBorder="1" applyAlignment="1">
      <alignment horizontal="left" vertical="top" wrapText="1"/>
    </xf>
    <xf numFmtId="0" fontId="13" fillId="0" borderId="0" xfId="0" applyFont="1" applyFill="1"/>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4" fillId="0" borderId="9" xfId="1" applyNumberFormat="1" applyFont="1" applyFill="1" applyBorder="1" applyAlignment="1">
      <alignment horizontal="center" vertical="top" wrapText="1"/>
    </xf>
    <xf numFmtId="0" fontId="4" fillId="0" borderId="4" xfId="2" quotePrefix="1" applyNumberFormat="1" applyFont="1" applyFill="1" applyBorder="1" applyAlignment="1">
      <alignment horizontal="center" vertical="top" wrapText="1"/>
    </xf>
    <xf numFmtId="0" fontId="4" fillId="0" borderId="13" xfId="1" applyNumberFormat="1" applyFont="1" applyFill="1" applyBorder="1" applyAlignment="1">
      <alignment horizontal="center" vertical="top" wrapText="1"/>
    </xf>
    <xf numFmtId="0" fontId="4" fillId="0" borderId="0" xfId="0" applyFont="1" applyFill="1" applyBorder="1" applyAlignment="1">
      <alignment vertical="top"/>
    </xf>
    <xf numFmtId="0" fontId="4" fillId="0" borderId="9" xfId="0" applyFont="1" applyFill="1" applyBorder="1" applyAlignment="1">
      <alignment vertical="top"/>
    </xf>
    <xf numFmtId="0" fontId="4" fillId="0" borderId="0"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2" xfId="5" applyFont="1" applyFill="1" applyBorder="1" applyAlignment="1">
      <alignment horizontal="left" vertical="top"/>
    </xf>
    <xf numFmtId="0" fontId="4" fillId="0" borderId="2" xfId="5" applyFont="1" applyFill="1" applyBorder="1" applyAlignment="1">
      <alignment horizontal="left" vertical="top" wrapText="1"/>
    </xf>
    <xf numFmtId="0" fontId="4" fillId="0" borderId="3" xfId="5" applyFont="1" applyFill="1" applyBorder="1" applyAlignment="1">
      <alignment horizontal="left" vertical="top" wrapText="1"/>
    </xf>
    <xf numFmtId="9" fontId="4" fillId="0" borderId="3" xfId="1" applyNumberFormat="1" applyFont="1" applyFill="1" applyBorder="1" applyAlignment="1">
      <alignment horizontal="left" vertical="top" wrapText="1"/>
    </xf>
    <xf numFmtId="0" fontId="4" fillId="0" borderId="8" xfId="5" applyFont="1" applyFill="1" applyBorder="1" applyAlignment="1">
      <alignment horizontal="left" vertical="top" wrapText="1"/>
    </xf>
    <xf numFmtId="0" fontId="4" fillId="0" borderId="0" xfId="5" applyFont="1" applyFill="1" applyBorder="1" applyAlignment="1">
      <alignment horizontal="left" vertical="top" wrapText="1"/>
    </xf>
    <xf numFmtId="9" fontId="4" fillId="0" borderId="0" xfId="1" applyNumberFormat="1" applyFont="1" applyFill="1" applyBorder="1" applyAlignment="1">
      <alignment horizontal="left" vertical="top" wrapText="1"/>
    </xf>
    <xf numFmtId="0" fontId="4" fillId="0" borderId="0" xfId="5" applyNumberFormat="1" applyFont="1" applyFill="1" applyBorder="1"/>
    <xf numFmtId="0" fontId="4" fillId="0" borderId="8" xfId="5" applyFont="1" applyFill="1" applyBorder="1" applyAlignment="1">
      <alignment horizontal="left" vertical="top"/>
    </xf>
    <xf numFmtId="0" fontId="4" fillId="0" borderId="12" xfId="5" applyFont="1" applyFill="1" applyBorder="1" applyAlignment="1">
      <alignment horizontal="left" vertical="top" wrapText="1" indent="1"/>
    </xf>
    <xf numFmtId="0" fontId="4" fillId="0" borderId="1" xfId="5" applyFont="1" applyFill="1" applyBorder="1" applyAlignment="1">
      <alignment horizontal="left" vertical="top" wrapText="1" indent="1"/>
    </xf>
    <xf numFmtId="0" fontId="4" fillId="0" borderId="13" xfId="5" applyFont="1" applyFill="1" applyBorder="1" applyAlignment="1">
      <alignment horizontal="left" vertical="top" wrapText="1" indent="1"/>
    </xf>
    <xf numFmtId="0" fontId="3" fillId="0" borderId="0" xfId="5" applyFont="1" applyFill="1"/>
    <xf numFmtId="0" fontId="4" fillId="0" borderId="0" xfId="5" applyFont="1" applyFill="1" applyBorder="1" applyAlignment="1">
      <alignment horizontal="left" vertical="top" wrapText="1" indent="1"/>
    </xf>
    <xf numFmtId="9" fontId="4" fillId="0" borderId="3" xfId="5" applyNumberFormat="1" applyFont="1" applyFill="1" applyBorder="1" applyAlignment="1">
      <alignment horizontal="left" vertical="top" wrapText="1"/>
    </xf>
    <xf numFmtId="9" fontId="13" fillId="0" borderId="3" xfId="1" applyNumberFormat="1" applyFont="1" applyFill="1" applyBorder="1" applyAlignment="1">
      <alignment horizontal="left" vertical="top" wrapText="1"/>
    </xf>
    <xf numFmtId="9" fontId="13" fillId="0" borderId="0" xfId="1" applyNumberFormat="1" applyFont="1" applyFill="1" applyBorder="1" applyAlignment="1">
      <alignment horizontal="left" vertical="top" wrapText="1"/>
    </xf>
    <xf numFmtId="9" fontId="13" fillId="0" borderId="9" xfId="1" applyNumberFormat="1" applyFont="1" applyFill="1" applyBorder="1" applyAlignment="1">
      <alignment horizontal="left" vertical="top" wrapText="1"/>
    </xf>
    <xf numFmtId="9" fontId="13" fillId="0" borderId="4" xfId="1" applyNumberFormat="1" applyFont="1" applyFill="1" applyBorder="1" applyAlignment="1">
      <alignment horizontal="left" vertical="top" wrapText="1"/>
    </xf>
    <xf numFmtId="0" fontId="5" fillId="0" borderId="0" xfId="3" applyFont="1" applyFill="1" applyBorder="1" applyAlignment="1" applyProtection="1">
      <alignment horizontal="left" vertical="center"/>
    </xf>
    <xf numFmtId="0" fontId="0" fillId="0" borderId="0" xfId="0" applyFill="1" applyAlignment="1">
      <alignment horizontal="left" vertical="center"/>
    </xf>
    <xf numFmtId="0" fontId="3" fillId="0" borderId="2" xfId="5" applyFont="1" applyFill="1" applyBorder="1" applyAlignment="1">
      <alignment horizontal="left" vertical="top" wrapText="1"/>
    </xf>
    <xf numFmtId="0" fontId="4" fillId="0" borderId="0" xfId="0" quotePrefix="1" applyFont="1" applyFill="1" applyAlignment="1">
      <alignment vertical="top"/>
    </xf>
    <xf numFmtId="0" fontId="4" fillId="0" borderId="4" xfId="0" applyFont="1" applyFill="1" applyBorder="1"/>
    <xf numFmtId="10" fontId="4" fillId="0" borderId="8"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4" fillId="3" borderId="11" xfId="0" applyFont="1" applyFill="1" applyBorder="1" applyAlignment="1">
      <alignment vertical="top"/>
    </xf>
    <xf numFmtId="0" fontId="4" fillId="3" borderId="11" xfId="0" applyFont="1" applyFill="1" applyBorder="1"/>
    <xf numFmtId="0" fontId="4" fillId="3" borderId="14" xfId="0" applyFont="1" applyFill="1" applyBorder="1"/>
    <xf numFmtId="167" fontId="4" fillId="3" borderId="10" xfId="0" applyNumberFormat="1" applyFont="1" applyFill="1" applyBorder="1"/>
    <xf numFmtId="168" fontId="4" fillId="3" borderId="11" xfId="0" applyNumberFormat="1" applyFont="1" applyFill="1" applyBorder="1"/>
    <xf numFmtId="169" fontId="4" fillId="3" borderId="11" xfId="0" applyNumberFormat="1" applyFont="1" applyFill="1" applyBorder="1"/>
    <xf numFmtId="170" fontId="8" fillId="3" borderId="11" xfId="0" applyNumberFormat="1" applyFont="1" applyFill="1" applyBorder="1"/>
    <xf numFmtId="171" fontId="4" fillId="3" borderId="11" xfId="0" applyNumberFormat="1" applyFont="1" applyFill="1" applyBorder="1"/>
    <xf numFmtId="172" fontId="4" fillId="3" borderId="11" xfId="0" applyNumberFormat="1" applyFont="1" applyFill="1" applyBorder="1"/>
    <xf numFmtId="173" fontId="8" fillId="3" borderId="11" xfId="0" applyNumberFormat="1" applyFont="1" applyFill="1" applyBorder="1"/>
    <xf numFmtId="174" fontId="4" fillId="3" borderId="11" xfId="0" applyNumberFormat="1" applyFont="1" applyFill="1" applyBorder="1"/>
    <xf numFmtId="175" fontId="4" fillId="3" borderId="11" xfId="0" applyNumberFormat="1" applyFont="1" applyFill="1" applyBorder="1"/>
    <xf numFmtId="176" fontId="4" fillId="3" borderId="11" xfId="0" applyNumberFormat="1" applyFont="1" applyFill="1" applyBorder="1"/>
    <xf numFmtId="177" fontId="4" fillId="3" borderId="11" xfId="0" applyNumberFormat="1" applyFont="1" applyFill="1" applyBorder="1"/>
    <xf numFmtId="179" fontId="4" fillId="3" borderId="11" xfId="0" applyNumberFormat="1" applyFont="1" applyFill="1" applyBorder="1"/>
    <xf numFmtId="180" fontId="4" fillId="3" borderId="11" xfId="0" applyNumberFormat="1" applyFont="1" applyFill="1" applyBorder="1"/>
    <xf numFmtId="178" fontId="4" fillId="3" borderId="11" xfId="0" applyNumberFormat="1" applyFont="1" applyFill="1" applyBorder="1"/>
    <xf numFmtId="181" fontId="4" fillId="3" borderId="11" xfId="0" applyNumberFormat="1" applyFont="1" applyFill="1" applyBorder="1"/>
    <xf numFmtId="182" fontId="4" fillId="3" borderId="11" xfId="0" applyNumberFormat="1" applyFont="1" applyFill="1" applyBorder="1"/>
    <xf numFmtId="183" fontId="4" fillId="3" borderId="14" xfId="0" applyNumberFormat="1" applyFont="1" applyFill="1" applyBorder="1"/>
    <xf numFmtId="167" fontId="4" fillId="3" borderId="11" xfId="0" applyNumberFormat="1" applyFont="1" applyFill="1" applyBorder="1"/>
    <xf numFmtId="0" fontId="10" fillId="3" borderId="15" xfId="0" applyFont="1" applyFill="1" applyBorder="1"/>
    <xf numFmtId="0" fontId="8" fillId="3" borderId="15" xfId="0" applyFont="1" applyFill="1" applyBorder="1"/>
    <xf numFmtId="0" fontId="4" fillId="3" borderId="0" xfId="0" applyFont="1" applyFill="1" applyBorder="1"/>
    <xf numFmtId="0" fontId="6" fillId="0" borderId="0" xfId="0" applyFont="1" applyFill="1" applyAlignment="1"/>
    <xf numFmtId="1" fontId="4" fillId="0" borderId="6" xfId="1" applyNumberFormat="1" applyFont="1" applyFill="1" applyBorder="1" applyAlignment="1">
      <alignment horizontal="left" vertical="top" wrapText="1"/>
    </xf>
    <xf numFmtId="1" fontId="4" fillId="0" borderId="7" xfId="1" applyNumberFormat="1" applyFont="1" applyFill="1" applyBorder="1" applyAlignment="1">
      <alignment horizontal="left" vertical="top" wrapText="1"/>
    </xf>
    <xf numFmtId="9" fontId="4" fillId="0" borderId="7" xfId="1" applyFont="1" applyFill="1" applyBorder="1" applyAlignment="1">
      <alignment horizontal="left" vertical="top" wrapText="1"/>
    </xf>
    <xf numFmtId="1" fontId="4" fillId="0" borderId="9" xfId="1" applyNumberFormat="1" applyFont="1" applyFill="1" applyBorder="1" applyAlignment="1">
      <alignment horizontal="left" vertical="top" wrapText="1"/>
    </xf>
    <xf numFmtId="165" fontId="4" fillId="0" borderId="6" xfId="1" quotePrefix="1" applyNumberFormat="1" applyFont="1" applyFill="1" applyBorder="1" applyAlignment="1">
      <alignment horizontal="center" vertical="top"/>
    </xf>
    <xf numFmtId="0" fontId="4" fillId="0" borderId="8" xfId="0" applyFont="1" applyFill="1" applyBorder="1" applyAlignment="1">
      <alignment vertical="top"/>
    </xf>
    <xf numFmtId="0" fontId="4" fillId="0" borderId="4" xfId="1" quotePrefix="1" applyNumberFormat="1" applyFont="1" applyFill="1" applyBorder="1" applyAlignment="1">
      <alignment horizontal="center" vertical="top" wrapText="1"/>
    </xf>
    <xf numFmtId="0" fontId="8" fillId="0" borderId="10" xfId="0" applyFont="1" applyFill="1" applyBorder="1" applyAlignment="1">
      <alignment horizontal="center" vertical="center" wrapText="1"/>
    </xf>
    <xf numFmtId="9" fontId="4" fillId="0" borderId="2" xfId="1" applyFont="1" applyFill="1" applyBorder="1" applyAlignment="1">
      <alignment horizontal="left" vertical="top" wrapText="1"/>
    </xf>
    <xf numFmtId="9" fontId="4" fillId="0" borderId="9" xfId="1" quotePrefix="1" applyFont="1" applyFill="1" applyBorder="1" applyAlignment="1">
      <alignment horizontal="left" vertical="top" wrapText="1"/>
    </xf>
    <xf numFmtId="0" fontId="4" fillId="0" borderId="8" xfId="1" applyNumberFormat="1" applyFont="1" applyFill="1" applyBorder="1" applyAlignment="1">
      <alignment horizontal="left" vertical="top" wrapText="1"/>
    </xf>
    <xf numFmtId="165" fontId="4" fillId="0" borderId="1" xfId="1" quotePrefix="1" applyNumberFormat="1" applyFont="1" applyFill="1" applyBorder="1" applyAlignment="1">
      <alignment horizontal="center" vertical="top"/>
    </xf>
    <xf numFmtId="9" fontId="4" fillId="0" borderId="5" xfId="1" applyFont="1" applyFill="1" applyBorder="1" applyAlignment="1">
      <alignment horizontal="left" vertical="top" wrapText="1"/>
    </xf>
    <xf numFmtId="9" fontId="4" fillId="0" borderId="6" xfId="1" applyFont="1" applyFill="1" applyBorder="1" applyAlignment="1">
      <alignment horizontal="left" vertical="top" wrapText="1"/>
    </xf>
    <xf numFmtId="164" fontId="3" fillId="0" borderId="0" xfId="2" applyNumberFormat="1" applyFont="1" applyFill="1" applyBorder="1" applyAlignment="1">
      <alignment horizontal="left" vertical="top" wrapText="1"/>
    </xf>
    <xf numFmtId="164" fontId="4" fillId="0" borderId="0" xfId="2" quotePrefix="1" applyNumberFormat="1" applyFont="1" applyFill="1" applyBorder="1" applyAlignment="1">
      <alignment vertical="top" wrapText="1"/>
    </xf>
    <xf numFmtId="164" fontId="4" fillId="0" borderId="0" xfId="2" applyNumberFormat="1" applyFont="1" applyFill="1" applyBorder="1" applyAlignment="1">
      <alignment horizontal="left" vertical="top" wrapText="1"/>
    </xf>
    <xf numFmtId="165" fontId="4" fillId="0" borderId="0" xfId="1" quotePrefix="1" applyNumberFormat="1" applyFont="1" applyFill="1" applyBorder="1" applyAlignment="1">
      <alignment horizontal="center" vertical="top"/>
    </xf>
    <xf numFmtId="165" fontId="4" fillId="0" borderId="0" xfId="1" quotePrefix="1" applyNumberFormat="1" applyFont="1" applyFill="1" applyBorder="1" applyAlignment="1">
      <alignment horizontal="center" vertical="top" wrapText="1"/>
    </xf>
    <xf numFmtId="0" fontId="13" fillId="0" borderId="0" xfId="0" applyFont="1" applyFill="1" applyAlignment="1"/>
    <xf numFmtId="0" fontId="10" fillId="0" borderId="14" xfId="0" applyFont="1" applyFill="1" applyBorder="1" applyAlignment="1"/>
    <xf numFmtId="1" fontId="4" fillId="0" borderId="10" xfId="1" applyNumberFormat="1" applyFont="1" applyFill="1" applyBorder="1" applyAlignment="1">
      <alignment vertical="top" wrapText="1"/>
    </xf>
    <xf numFmtId="1" fontId="4" fillId="0" borderId="11" xfId="1" applyNumberFormat="1" applyFont="1" applyFill="1" applyBorder="1" applyAlignment="1">
      <alignment vertical="top" wrapText="1"/>
    </xf>
    <xf numFmtId="1" fontId="4" fillId="0" borderId="14" xfId="1" applyNumberFormat="1" applyFont="1" applyFill="1" applyBorder="1" applyAlignment="1">
      <alignment vertical="top" wrapText="1"/>
    </xf>
    <xf numFmtId="0" fontId="0" fillId="0" borderId="0" xfId="0" applyFill="1" applyBorder="1" applyAlignment="1"/>
    <xf numFmtId="0" fontId="0" fillId="0" borderId="0" xfId="0" applyFill="1" applyAlignment="1"/>
    <xf numFmtId="0" fontId="13" fillId="0" borderId="13" xfId="0" applyFont="1" applyFill="1" applyBorder="1" applyAlignment="1">
      <alignment vertical="center"/>
    </xf>
    <xf numFmtId="1" fontId="4" fillId="0" borderId="4" xfId="1" applyNumberFormat="1" applyFont="1" applyFill="1" applyBorder="1" applyAlignment="1">
      <alignment vertical="top" wrapText="1"/>
    </xf>
    <xf numFmtId="1" fontId="4" fillId="0" borderId="9" xfId="1" applyNumberFormat="1" applyFont="1" applyFill="1" applyBorder="1" applyAlignment="1">
      <alignment vertical="top" wrapText="1"/>
    </xf>
    <xf numFmtId="1" fontId="4" fillId="0" borderId="13" xfId="1" applyNumberFormat="1" applyFont="1" applyFill="1" applyBorder="1" applyAlignment="1">
      <alignment vertical="top" wrapText="1"/>
    </xf>
    <xf numFmtId="0" fontId="10" fillId="0" borderId="11" xfId="0" applyFont="1" applyFill="1" applyBorder="1" applyAlignment="1">
      <alignment vertical="top"/>
    </xf>
    <xf numFmtId="0" fontId="3"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1" fontId="3" fillId="0" borderId="5" xfId="2" applyNumberFormat="1" applyFont="1" applyFill="1" applyBorder="1" applyAlignment="1">
      <alignment horizontal="left" vertical="top" wrapText="1"/>
    </xf>
    <xf numFmtId="9" fontId="4" fillId="0" borderId="6" xfId="2" applyNumberFormat="1" applyFont="1" applyFill="1" applyBorder="1" applyAlignment="1">
      <alignment horizontal="left" vertical="top" wrapText="1"/>
    </xf>
    <xf numFmtId="1" fontId="4" fillId="0" borderId="5" xfId="2" applyNumberFormat="1" applyFont="1" applyFill="1" applyBorder="1" applyAlignment="1">
      <alignment horizontal="left" vertical="top" wrapText="1"/>
    </xf>
    <xf numFmtId="9" fontId="4" fillId="0" borderId="15" xfId="1" applyFont="1" applyFill="1" applyBorder="1" applyAlignment="1">
      <alignment horizontal="left" vertical="top" wrapText="1"/>
    </xf>
    <xf numFmtId="1" fontId="3" fillId="0" borderId="12" xfId="1" applyNumberFormat="1" applyFont="1" applyFill="1" applyBorder="1" applyAlignment="1">
      <alignment horizontal="left" vertical="top" wrapText="1"/>
    </xf>
    <xf numFmtId="1" fontId="4" fillId="0" borderId="1" xfId="1" applyNumberFormat="1" applyFont="1" applyFill="1" applyBorder="1" applyAlignment="1">
      <alignment horizontal="left" vertical="top" wrapText="1"/>
    </xf>
    <xf numFmtId="1" fontId="4" fillId="0" borderId="13" xfId="1" applyNumberFormat="1" applyFont="1" applyFill="1" applyBorder="1" applyAlignment="1">
      <alignment horizontal="left" vertical="top" wrapText="1"/>
    </xf>
    <xf numFmtId="9" fontId="4" fillId="0" borderId="1" xfId="1" applyFont="1" applyFill="1" applyBorder="1" applyAlignment="1">
      <alignment horizontal="left" vertical="top" wrapText="1"/>
    </xf>
    <xf numFmtId="1" fontId="4" fillId="0" borderId="12" xfId="1" applyNumberFormat="1" applyFont="1" applyFill="1" applyBorder="1" applyAlignment="1">
      <alignment horizontal="left" vertical="top" wrapText="1"/>
    </xf>
    <xf numFmtId="1" fontId="4" fillId="0" borderId="8" xfId="2" applyNumberFormat="1" applyFont="1" applyFill="1" applyBorder="1" applyAlignment="1">
      <alignment horizontal="left" vertical="top" wrapText="1"/>
    </xf>
    <xf numFmtId="9" fontId="4" fillId="0" borderId="8" xfId="2" applyNumberFormat="1" applyFont="1" applyFill="1" applyBorder="1" applyAlignment="1">
      <alignment horizontal="left" vertical="top" wrapText="1"/>
    </xf>
    <xf numFmtId="0" fontId="0" fillId="0" borderId="1" xfId="0" applyFill="1" applyBorder="1"/>
    <xf numFmtId="1" fontId="3" fillId="0" borderId="8" xfId="2" applyNumberFormat="1" applyFont="1" applyFill="1" applyBorder="1" applyAlignment="1">
      <alignment horizontal="left" vertical="top" wrapText="1"/>
    </xf>
    <xf numFmtId="9" fontId="4" fillId="0" borderId="9" xfId="2" applyNumberFormat="1" applyFont="1" applyFill="1" applyBorder="1" applyAlignment="1">
      <alignment horizontal="left" vertical="top" wrapText="1"/>
    </xf>
    <xf numFmtId="9" fontId="4" fillId="0" borderId="14" xfId="1" applyFont="1" applyFill="1" applyBorder="1" applyAlignment="1">
      <alignment horizontal="left" vertical="top" wrapText="1"/>
    </xf>
    <xf numFmtId="0" fontId="4" fillId="0" borderId="15" xfId="0" applyFont="1" applyFill="1" applyBorder="1" applyAlignment="1">
      <alignment horizontal="left" vertical="top"/>
    </xf>
    <xf numFmtId="9" fontId="4" fillId="0" borderId="6" xfId="1" applyNumberFormat="1" applyFont="1" applyFill="1" applyBorder="1" applyAlignment="1">
      <alignment horizontal="left" vertical="top" wrapText="1"/>
    </xf>
    <xf numFmtId="0" fontId="4" fillId="0" borderId="11" xfId="0" applyFont="1" applyFill="1" applyBorder="1" applyAlignment="1">
      <alignment vertical="top"/>
    </xf>
    <xf numFmtId="1" fontId="4" fillId="0" borderId="9" xfId="2" applyNumberFormat="1" applyFont="1" applyFill="1" applyBorder="1" applyAlignment="1">
      <alignment horizontal="left" vertical="top" wrapText="1"/>
    </xf>
    <xf numFmtId="9" fontId="4" fillId="0" borderId="0" xfId="2" applyNumberFormat="1" applyFont="1" applyFill="1" applyBorder="1" applyAlignment="1">
      <alignment horizontal="left" vertical="top" wrapText="1"/>
    </xf>
    <xf numFmtId="165" fontId="4" fillId="0" borderId="6" xfId="1" applyNumberFormat="1" applyFont="1" applyFill="1" applyBorder="1" applyAlignment="1">
      <alignment horizontal="left" vertical="top" wrapText="1"/>
    </xf>
    <xf numFmtId="184" fontId="4" fillId="0" borderId="6" xfId="1" applyNumberFormat="1" applyFont="1" applyFill="1" applyBorder="1" applyAlignment="1">
      <alignment horizontal="left" vertical="top" wrapText="1"/>
    </xf>
    <xf numFmtId="1" fontId="4" fillId="0" borderId="6" xfId="2" applyNumberFormat="1" applyFont="1" applyFill="1" applyBorder="1" applyAlignment="1">
      <alignment horizontal="left" vertical="center" wrapText="1"/>
    </xf>
    <xf numFmtId="1" fontId="4" fillId="0" borderId="7" xfId="2" applyNumberFormat="1" applyFont="1" applyFill="1" applyBorder="1" applyAlignment="1">
      <alignment horizontal="left" vertical="center" wrapText="1"/>
    </xf>
    <xf numFmtId="9" fontId="4" fillId="0" borderId="15" xfId="2" applyNumberFormat="1" applyFont="1" applyFill="1" applyBorder="1" applyAlignment="1">
      <alignment horizontal="left" vertical="top" wrapText="1"/>
    </xf>
    <xf numFmtId="0" fontId="0" fillId="0" borderId="3" xfId="0" applyFill="1" applyBorder="1"/>
    <xf numFmtId="10" fontId="4" fillId="0" borderId="6" xfId="2" applyNumberFormat="1" applyFont="1" applyFill="1" applyBorder="1" applyAlignment="1">
      <alignment horizontal="left" vertical="top" wrapText="1"/>
    </xf>
    <xf numFmtId="0" fontId="12" fillId="0" borderId="0" xfId="3" applyFont="1" applyFill="1" applyBorder="1" applyAlignment="1" applyProtection="1">
      <alignment horizontal="left" vertical="center"/>
    </xf>
    <xf numFmtId="0" fontId="10" fillId="0" borderId="5" xfId="0" applyFont="1" applyFill="1" applyBorder="1"/>
    <xf numFmtId="0" fontId="4" fillId="0" borderId="12" xfId="0" applyFont="1" applyFill="1" applyBorder="1" applyAlignment="1">
      <alignment vertical="top"/>
    </xf>
    <xf numFmtId="0" fontId="4" fillId="0" borderId="5" xfId="0" applyFont="1" applyFill="1" applyBorder="1" applyAlignment="1">
      <alignment horizontal="left" vertical="top"/>
    </xf>
    <xf numFmtId="0" fontId="4" fillId="0" borderId="5" xfId="1" applyNumberFormat="1" applyFont="1" applyFill="1" applyBorder="1" applyAlignment="1">
      <alignment horizontal="left" vertical="top" wrapText="1"/>
    </xf>
    <xf numFmtId="0" fontId="4" fillId="0" borderId="10" xfId="0" applyFont="1" applyFill="1" applyBorder="1" applyAlignment="1">
      <alignment vertical="top"/>
    </xf>
    <xf numFmtId="0" fontId="4" fillId="0" borderId="3" xfId="0" applyFont="1" applyFill="1" applyBorder="1" applyAlignment="1">
      <alignment vertical="top"/>
    </xf>
    <xf numFmtId="1" fontId="3" fillId="0" borderId="2" xfId="1" applyNumberFormat="1" applyFont="1" applyFill="1" applyBorder="1" applyAlignment="1">
      <alignment horizontal="left" vertical="top" wrapText="1"/>
    </xf>
    <xf numFmtId="9" fontId="4" fillId="0" borderId="7" xfId="1" applyNumberFormat="1" applyFont="1" applyFill="1" applyBorder="1" applyAlignment="1">
      <alignment horizontal="left" vertical="top" wrapText="1"/>
    </xf>
    <xf numFmtId="10" fontId="4" fillId="0" borderId="4" xfId="1" applyNumberFormat="1" applyFont="1" applyFill="1" applyBorder="1" applyAlignment="1">
      <alignment horizontal="left" vertical="top" wrapText="1"/>
    </xf>
    <xf numFmtId="0" fontId="13" fillId="0" borderId="12" xfId="0" applyFont="1" applyFill="1" applyBorder="1"/>
    <xf numFmtId="0" fontId="5" fillId="0" borderId="0" xfId="3" applyFill="1"/>
    <xf numFmtId="0" fontId="4" fillId="0" borderId="14" xfId="0" applyFont="1" applyFill="1" applyBorder="1" applyAlignment="1">
      <alignment horizontal="center" vertical="center"/>
    </xf>
    <xf numFmtId="49" fontId="4" fillId="0" borderId="1" xfId="0" applyNumberFormat="1" applyFont="1" applyFill="1" applyBorder="1" applyAlignment="1">
      <alignment horizontal="center" vertical="center"/>
    </xf>
    <xf numFmtId="165" fontId="4" fillId="0" borderId="6" xfId="1" quotePrefix="1" applyNumberFormat="1" applyFont="1" applyFill="1" applyBorder="1" applyAlignment="1">
      <alignment horizontal="center" vertical="top" wrapText="1"/>
    </xf>
    <xf numFmtId="165" fontId="4" fillId="0" borderId="6" xfId="2" quotePrefix="1" applyNumberFormat="1" applyFont="1" applyFill="1" applyBorder="1" applyAlignment="1">
      <alignment horizontal="center" vertical="top"/>
    </xf>
    <xf numFmtId="0" fontId="3" fillId="0" borderId="15" xfId="0" applyFont="1" applyFill="1" applyBorder="1" applyAlignment="1">
      <alignment horizontal="left" vertical="center" wrapText="1"/>
    </xf>
    <xf numFmtId="1" fontId="3" fillId="0" borderId="15" xfId="2" applyNumberFormat="1" applyFont="1" applyFill="1" applyBorder="1" applyAlignment="1">
      <alignment horizontal="left" vertical="top" wrapText="1"/>
    </xf>
    <xf numFmtId="1" fontId="4" fillId="0" borderId="15" xfId="2" applyNumberFormat="1" applyFont="1" applyFill="1" applyBorder="1" applyAlignment="1">
      <alignment horizontal="left" vertical="top" wrapText="1"/>
    </xf>
    <xf numFmtId="165" fontId="4" fillId="0" borderId="5" xfId="2" quotePrefix="1" applyNumberFormat="1" applyFont="1" applyFill="1" applyBorder="1" applyAlignment="1">
      <alignment horizontal="center" vertical="top"/>
    </xf>
    <xf numFmtId="0" fontId="4" fillId="0" borderId="10" xfId="0" applyFont="1" applyFill="1" applyBorder="1" applyAlignment="1">
      <alignment vertical="top" wrapText="1"/>
    </xf>
    <xf numFmtId="1" fontId="3" fillId="0" borderId="10" xfId="2" applyNumberFormat="1" applyFont="1" applyFill="1" applyBorder="1" applyAlignment="1">
      <alignment horizontal="left" vertical="top" wrapText="1"/>
    </xf>
    <xf numFmtId="165" fontId="4" fillId="0" borderId="3" xfId="1" quotePrefix="1" applyNumberFormat="1" applyFont="1" applyFill="1" applyBorder="1" applyAlignment="1">
      <alignment horizontal="center" vertical="top" wrapText="1"/>
    </xf>
    <xf numFmtId="165" fontId="4" fillId="0" borderId="5" xfId="1" quotePrefix="1" applyNumberFormat="1" applyFont="1" applyFill="1" applyBorder="1" applyAlignment="1">
      <alignment horizontal="center" vertical="top" wrapText="1"/>
    </xf>
    <xf numFmtId="165" fontId="4" fillId="0" borderId="7" xfId="1" quotePrefix="1" applyNumberFormat="1" applyFont="1" applyFill="1" applyBorder="1" applyAlignment="1">
      <alignment vertical="top" wrapText="1"/>
    </xf>
    <xf numFmtId="0" fontId="4" fillId="0" borderId="15" xfId="0" applyFont="1" applyFill="1" applyBorder="1" applyAlignment="1">
      <alignment vertical="top" wrapText="1"/>
    </xf>
    <xf numFmtId="1" fontId="4" fillId="0" borderId="6" xfId="2" quotePrefix="1" applyNumberFormat="1" applyFont="1" applyFill="1" applyBorder="1" applyAlignment="1">
      <alignment horizontal="left" vertical="top" wrapText="1"/>
    </xf>
    <xf numFmtId="0" fontId="3" fillId="0" borderId="15" xfId="0" applyFont="1" applyFill="1" applyBorder="1" applyAlignment="1">
      <alignment horizontal="left" vertical="top" wrapText="1"/>
    </xf>
    <xf numFmtId="0" fontId="13" fillId="0" borderId="5" xfId="0" applyFont="1" applyFill="1" applyBorder="1" applyAlignment="1">
      <alignment vertical="top"/>
    </xf>
    <xf numFmtId="165" fontId="4" fillId="0" borderId="6" xfId="1" quotePrefix="1" applyNumberFormat="1" applyFont="1" applyFill="1" applyBorder="1" applyAlignment="1">
      <alignment horizontal="left" vertical="top" wrapText="1"/>
    </xf>
    <xf numFmtId="1" fontId="3" fillId="0" borderId="11" xfId="1" applyNumberFormat="1" applyFont="1" applyFill="1" applyBorder="1" applyAlignment="1">
      <alignment horizontal="left" vertical="top" wrapText="1"/>
    </xf>
    <xf numFmtId="165" fontId="4" fillId="0" borderId="6" xfId="2" quotePrefix="1" applyNumberFormat="1" applyFont="1" applyFill="1" applyBorder="1" applyAlignment="1">
      <alignment horizontal="center" vertical="top" wrapText="1"/>
    </xf>
    <xf numFmtId="1" fontId="4" fillId="0" borderId="3" xfId="2" applyNumberFormat="1" applyFont="1" applyFill="1" applyBorder="1" applyAlignment="1">
      <alignment horizontal="left" vertical="top" wrapText="1"/>
    </xf>
    <xf numFmtId="1" fontId="4" fillId="0" borderId="4" xfId="2" applyNumberFormat="1" applyFont="1" applyFill="1" applyBorder="1" applyAlignment="1">
      <alignment horizontal="left" vertical="top" wrapText="1"/>
    </xf>
    <xf numFmtId="1" fontId="4" fillId="0" borderId="5" xfId="2" applyNumberFormat="1" applyFont="1" applyFill="1" applyBorder="1" applyAlignment="1">
      <alignment vertical="top" wrapText="1"/>
    </xf>
    <xf numFmtId="165" fontId="4" fillId="0" borderId="6" xfId="2" quotePrefix="1" applyNumberFormat="1" applyFont="1" applyFill="1" applyBorder="1" applyAlignment="1">
      <alignment horizontal="left" vertical="top" wrapText="1"/>
    </xf>
    <xf numFmtId="164" fontId="4" fillId="0" borderId="15" xfId="2" applyNumberFormat="1" applyFont="1" applyFill="1" applyBorder="1" applyAlignment="1">
      <alignment horizontal="left" vertical="top" wrapText="1"/>
    </xf>
    <xf numFmtId="164" fontId="3" fillId="0" borderId="15" xfId="2" applyNumberFormat="1" applyFont="1" applyFill="1" applyBorder="1" applyAlignment="1">
      <alignment horizontal="left" vertical="top" wrapText="1"/>
    </xf>
    <xf numFmtId="164" fontId="4" fillId="0" borderId="6" xfId="2" quotePrefix="1" applyNumberFormat="1" applyFont="1" applyFill="1" applyBorder="1" applyAlignment="1">
      <alignment vertical="top" wrapText="1"/>
    </xf>
    <xf numFmtId="164" fontId="4" fillId="0" borderId="5" xfId="2" applyNumberFormat="1" applyFont="1" applyFill="1" applyBorder="1" applyAlignment="1">
      <alignment horizontal="left" vertical="top" wrapText="1"/>
    </xf>
    <xf numFmtId="164" fontId="4" fillId="0" borderId="6" xfId="2" applyNumberFormat="1" applyFont="1" applyFill="1" applyBorder="1" applyAlignment="1">
      <alignment horizontal="left" vertical="top" wrapText="1"/>
    </xf>
    <xf numFmtId="164" fontId="4" fillId="0" borderId="7" xfId="2" applyNumberFormat="1" applyFont="1" applyFill="1" applyBorder="1" applyAlignment="1">
      <alignment horizontal="left" vertical="top" wrapText="1"/>
    </xf>
    <xf numFmtId="0" fontId="5" fillId="0" borderId="0" xfId="3" applyFill="1" applyBorder="1" applyAlignment="1" applyProtection="1">
      <alignment horizontal="left" vertical="center"/>
    </xf>
    <xf numFmtId="0" fontId="4" fillId="0" borderId="5" xfId="5" applyFont="1" applyFill="1" applyBorder="1" applyAlignment="1">
      <alignment horizontal="left" vertical="top" wrapText="1"/>
    </xf>
    <xf numFmtId="166" fontId="4" fillId="0" borderId="15" xfId="5" quotePrefix="1" applyNumberFormat="1" applyFont="1" applyFill="1" applyBorder="1" applyAlignment="1">
      <alignment horizontal="center" vertical="top"/>
    </xf>
    <xf numFmtId="0" fontId="16" fillId="0" borderId="15" xfId="2" applyFont="1" applyFill="1" applyBorder="1" applyAlignment="1">
      <alignment horizontal="left" vertical="top" wrapText="1"/>
    </xf>
    <xf numFmtId="9" fontId="4" fillId="0" borderId="15" xfId="1" applyFont="1" applyFill="1" applyBorder="1" applyAlignment="1">
      <alignment horizontal="center" vertical="top" wrapText="1"/>
    </xf>
    <xf numFmtId="0" fontId="8" fillId="0" borderId="16" xfId="2" applyFont="1" applyFill="1" applyBorder="1" applyAlignment="1">
      <alignment horizontal="left" vertical="top" wrapText="1"/>
    </xf>
    <xf numFmtId="0" fontId="4" fillId="0" borderId="5" xfId="5" applyFont="1" applyFill="1" applyBorder="1" applyAlignment="1">
      <alignment horizontal="left" vertical="top"/>
    </xf>
    <xf numFmtId="10" fontId="0" fillId="0" borderId="0" xfId="0" applyNumberFormat="1" applyFill="1"/>
    <xf numFmtId="0" fontId="21" fillId="0" borderId="0" xfId="0" applyFont="1" applyFill="1"/>
    <xf numFmtId="165" fontId="0" fillId="0" borderId="0" xfId="1" applyNumberFormat="1" applyFont="1" applyFill="1"/>
    <xf numFmtId="165" fontId="4" fillId="0" borderId="14" xfId="1" applyNumberFormat="1" applyFont="1" applyFill="1" applyBorder="1" applyAlignment="1">
      <alignment horizontal="center" vertical="top" wrapText="1"/>
    </xf>
    <xf numFmtId="0" fontId="4" fillId="0" borderId="2" xfId="1" applyNumberFormat="1" applyFont="1" applyFill="1" applyBorder="1" applyAlignment="1">
      <alignment horizontal="left" vertical="top" wrapText="1"/>
    </xf>
    <xf numFmtId="0" fontId="4" fillId="0" borderId="9" xfId="1" applyNumberFormat="1" applyFont="1" applyFill="1" applyBorder="1" applyAlignment="1">
      <alignment horizontal="left" vertical="top" wrapText="1"/>
    </xf>
    <xf numFmtId="0" fontId="4" fillId="0" borderId="3" xfId="0" applyFont="1" applyFill="1" applyBorder="1" applyAlignment="1">
      <alignment horizontal="left" vertical="top"/>
    </xf>
    <xf numFmtId="10" fontId="4" fillId="0" borderId="0" xfId="1" applyNumberFormat="1" applyFont="1" applyFill="1" applyBorder="1" applyAlignment="1">
      <alignment horizontal="left" vertical="top" wrapText="1"/>
    </xf>
    <xf numFmtId="1" fontId="3" fillId="0" borderId="6" xfId="1" applyNumberFormat="1" applyFont="1" applyFill="1" applyBorder="1" applyAlignment="1">
      <alignment horizontal="left" vertical="top" wrapText="1"/>
    </xf>
    <xf numFmtId="0" fontId="4" fillId="0" borderId="0" xfId="5" applyFont="1" applyFill="1" applyBorder="1" applyAlignment="1">
      <alignment horizontal="left" vertical="top"/>
    </xf>
    <xf numFmtId="0" fontId="4" fillId="0" borderId="0" xfId="0" applyFont="1" applyFill="1" applyAlignment="1">
      <alignment horizontal="center" vertical="top"/>
    </xf>
    <xf numFmtId="0" fontId="13" fillId="0" borderId="0" xfId="0" applyFont="1"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3" fillId="0" borderId="0" xfId="0" applyFont="1" applyFill="1" applyAlignment="1">
      <alignment horizontal="center" vertical="center"/>
    </xf>
    <xf numFmtId="0" fontId="13" fillId="0" borderId="0" xfId="0" applyFont="1" applyFill="1" applyAlignment="1">
      <alignment horizontal="left" vertical="top"/>
    </xf>
    <xf numFmtId="9" fontId="4" fillId="0" borderId="2" xfId="2" applyNumberFormat="1" applyFont="1" applyFill="1" applyBorder="1" applyAlignment="1">
      <alignment horizontal="center" vertical="top" wrapText="1"/>
    </xf>
    <xf numFmtId="9" fontId="4" fillId="0" borderId="4" xfId="2" applyNumberFormat="1" applyFont="1" applyFill="1" applyBorder="1" applyAlignment="1">
      <alignment horizontal="center" vertical="top" wrapText="1"/>
    </xf>
    <xf numFmtId="9" fontId="4" fillId="0" borderId="8" xfId="2" applyNumberFormat="1" applyFont="1" applyFill="1" applyBorder="1" applyAlignment="1">
      <alignment horizontal="center" vertical="top" wrapText="1"/>
    </xf>
    <xf numFmtId="9" fontId="4" fillId="0" borderId="9" xfId="2" applyNumberFormat="1" applyFont="1" applyFill="1" applyBorder="1" applyAlignment="1">
      <alignment horizontal="center" vertical="top" wrapText="1"/>
    </xf>
    <xf numFmtId="0" fontId="4" fillId="0" borderId="13" xfId="1" quotePrefix="1" applyNumberFormat="1" applyFont="1" applyFill="1" applyBorder="1" applyAlignment="1">
      <alignment horizontal="center" vertical="top" wrapText="1"/>
    </xf>
    <xf numFmtId="9" fontId="4" fillId="0" borderId="12" xfId="2" applyNumberFormat="1" applyFont="1" applyFill="1" applyBorder="1" applyAlignment="1">
      <alignment horizontal="center" vertical="top" wrapText="1"/>
    </xf>
    <xf numFmtId="9" fontId="4" fillId="0" borderId="13" xfId="2" applyNumberFormat="1" applyFont="1" applyFill="1" applyBorder="1" applyAlignment="1">
      <alignment horizontal="center" vertical="top" wrapText="1"/>
    </xf>
    <xf numFmtId="0" fontId="4" fillId="0" borderId="2" xfId="0" applyFont="1" applyFill="1" applyBorder="1" applyAlignment="1">
      <alignment vertical="top"/>
    </xf>
    <xf numFmtId="1" fontId="4" fillId="0" borderId="11" xfId="1" applyNumberFormat="1" applyFont="1" applyFill="1" applyBorder="1" applyAlignment="1">
      <alignment horizontal="left" vertical="top" wrapText="1"/>
    </xf>
    <xf numFmtId="1" fontId="4" fillId="0" borderId="11" xfId="2" applyNumberFormat="1" applyFont="1" applyFill="1" applyBorder="1" applyAlignment="1">
      <alignment horizontal="left" vertical="top" wrapText="1"/>
    </xf>
    <xf numFmtId="1" fontId="4" fillId="0" borderId="14" xfId="1" applyNumberFormat="1" applyFont="1" applyFill="1" applyBorder="1" applyAlignment="1">
      <alignment horizontal="left" vertical="top" wrapText="1"/>
    </xf>
    <xf numFmtId="0" fontId="4" fillId="0" borderId="3" xfId="0" applyFont="1" applyFill="1" applyBorder="1" applyAlignment="1">
      <alignment vertical="center"/>
    </xf>
    <xf numFmtId="9" fontId="4" fillId="0" borderId="11" xfId="1" applyFont="1" applyFill="1" applyBorder="1" applyAlignment="1">
      <alignment horizontal="center" vertical="top" wrapText="1"/>
    </xf>
    <xf numFmtId="0" fontId="4" fillId="0" borderId="1" xfId="0" applyFont="1" applyFill="1" applyBorder="1" applyAlignment="1">
      <alignment vertical="center"/>
    </xf>
    <xf numFmtId="9" fontId="4" fillId="0" borderId="14" xfId="1" applyFont="1" applyFill="1" applyBorder="1" applyAlignment="1">
      <alignment horizontal="center" vertical="top" wrapText="1"/>
    </xf>
    <xf numFmtId="0" fontId="4" fillId="0" borderId="9" xfId="2" quotePrefix="1" applyNumberFormat="1" applyFont="1" applyFill="1" applyBorder="1" applyAlignment="1">
      <alignment horizontal="center" vertical="top" wrapText="1"/>
    </xf>
    <xf numFmtId="165" fontId="4" fillId="0" borderId="13" xfId="1" applyNumberFormat="1" applyFont="1" applyFill="1" applyBorder="1" applyAlignment="1">
      <alignment horizontal="center" vertical="top" wrapText="1"/>
    </xf>
    <xf numFmtId="0" fontId="4" fillId="0" borderId="1" xfId="0" applyFont="1" applyFill="1" applyBorder="1" applyAlignment="1">
      <alignment vertical="top"/>
    </xf>
    <xf numFmtId="1" fontId="4" fillId="0" borderId="10" xfId="2" applyNumberFormat="1" applyFont="1" applyFill="1" applyBorder="1" applyAlignment="1">
      <alignment horizontal="left" vertical="top" wrapText="1"/>
    </xf>
    <xf numFmtId="9" fontId="4" fillId="0" borderId="13" xfId="1" applyFont="1" applyFill="1" applyBorder="1" applyAlignment="1">
      <alignment vertical="top" wrapText="1"/>
    </xf>
    <xf numFmtId="1" fontId="4" fillId="0" borderId="11" xfId="2" applyNumberFormat="1" applyFont="1" applyFill="1" applyBorder="1" applyAlignment="1">
      <alignment vertical="top" wrapText="1"/>
    </xf>
    <xf numFmtId="0" fontId="13" fillId="0" borderId="0" xfId="0" applyFont="1" applyFill="1" applyAlignment="1">
      <alignment vertical="center"/>
    </xf>
    <xf numFmtId="1" fontId="3" fillId="0" borderId="10" xfId="1" applyNumberFormat="1" applyFont="1" applyFill="1" applyBorder="1" applyAlignment="1">
      <alignment vertical="center" wrapText="1"/>
    </xf>
    <xf numFmtId="1" fontId="4" fillId="0" borderId="10" xfId="1" applyNumberFormat="1" applyFont="1" applyFill="1" applyBorder="1" applyAlignment="1">
      <alignment vertical="center" wrapText="1"/>
    </xf>
    <xf numFmtId="1" fontId="4" fillId="0" borderId="4" xfId="1" applyNumberFormat="1" applyFont="1" applyFill="1" applyBorder="1" applyAlignment="1">
      <alignment vertical="center" wrapText="1"/>
    </xf>
    <xf numFmtId="0" fontId="4" fillId="0" borderId="4" xfId="1" applyNumberFormat="1" applyFont="1" applyFill="1" applyBorder="1" applyAlignment="1">
      <alignment horizontal="center" vertical="center" wrapText="1"/>
    </xf>
    <xf numFmtId="9" fontId="4" fillId="0" borderId="2" xfId="1" applyFont="1" applyFill="1" applyBorder="1" applyAlignment="1">
      <alignment horizontal="center" vertical="center" wrapText="1"/>
    </xf>
    <xf numFmtId="9" fontId="4" fillId="0" borderId="4" xfId="1" applyFont="1" applyFill="1" applyBorder="1" applyAlignment="1">
      <alignment horizontal="center" vertical="center" wrapText="1"/>
    </xf>
    <xf numFmtId="0" fontId="0" fillId="0" borderId="0" xfId="0" applyFill="1" applyAlignment="1">
      <alignment vertical="center"/>
    </xf>
    <xf numFmtId="1" fontId="4" fillId="0" borderId="9" xfId="1" applyNumberFormat="1" applyFont="1" applyFill="1" applyBorder="1" applyAlignment="1">
      <alignment vertical="center" wrapText="1"/>
    </xf>
    <xf numFmtId="1" fontId="4" fillId="0" borderId="11" xfId="1" applyNumberFormat="1" applyFont="1" applyFill="1" applyBorder="1" applyAlignment="1">
      <alignment vertical="center" wrapText="1"/>
    </xf>
    <xf numFmtId="0" fontId="4" fillId="0" borderId="9" xfId="1" quotePrefix="1" applyNumberFormat="1" applyFont="1" applyFill="1" applyBorder="1" applyAlignment="1">
      <alignment horizontal="center" vertical="center" wrapText="1"/>
    </xf>
    <xf numFmtId="9" fontId="4" fillId="0" borderId="8" xfId="2" applyNumberFormat="1" applyFont="1" applyFill="1" applyBorder="1" applyAlignment="1">
      <alignment horizontal="center" vertical="center" wrapText="1"/>
    </xf>
    <xf numFmtId="9" fontId="4" fillId="0" borderId="9" xfId="1" applyFont="1" applyFill="1" applyBorder="1" applyAlignment="1">
      <alignment horizontal="center" vertical="center" wrapText="1"/>
    </xf>
    <xf numFmtId="9" fontId="4" fillId="0" borderId="9" xfId="1" quotePrefix="1" applyFont="1" applyFill="1" applyBorder="1" applyAlignment="1">
      <alignment horizontal="center" vertical="center" wrapText="1"/>
    </xf>
    <xf numFmtId="0" fontId="13" fillId="0" borderId="0" xfId="0" applyFont="1" applyFill="1" applyAlignment="1">
      <alignment horizontal="left" vertical="center"/>
    </xf>
    <xf numFmtId="1" fontId="3" fillId="0" borderId="11" xfId="1" applyNumberFormat="1" applyFont="1" applyFill="1" applyBorder="1" applyAlignment="1">
      <alignment vertical="center" wrapText="1"/>
    </xf>
    <xf numFmtId="9" fontId="4" fillId="0" borderId="8" xfId="1" applyFont="1" applyFill="1" applyBorder="1" applyAlignment="1">
      <alignment horizontal="center" vertical="center" wrapText="1"/>
    </xf>
    <xf numFmtId="0" fontId="13" fillId="0" borderId="0" xfId="0" applyFont="1" applyFill="1" applyBorder="1" applyAlignment="1">
      <alignment horizontal="left" vertical="center"/>
    </xf>
    <xf numFmtId="0" fontId="4" fillId="0" borderId="9" xfId="1" applyNumberFormat="1" applyFont="1" applyFill="1" applyBorder="1" applyAlignment="1">
      <alignment horizontal="center" vertical="center" wrapText="1"/>
    </xf>
    <xf numFmtId="0" fontId="0" fillId="0" borderId="0" xfId="0" applyFill="1" applyBorder="1" applyAlignment="1">
      <alignment vertical="center"/>
    </xf>
    <xf numFmtId="1" fontId="4" fillId="0" borderId="14" xfId="1" applyNumberFormat="1" applyFont="1" applyFill="1" applyBorder="1" applyAlignment="1">
      <alignment vertical="center" wrapText="1"/>
    </xf>
    <xf numFmtId="1" fontId="4" fillId="0" borderId="13" xfId="1" applyNumberFormat="1" applyFont="1" applyFill="1" applyBorder="1" applyAlignment="1">
      <alignment vertical="center" wrapText="1"/>
    </xf>
    <xf numFmtId="0" fontId="4" fillId="0" borderId="13" xfId="1" applyNumberFormat="1" applyFont="1" applyFill="1" applyBorder="1" applyAlignment="1">
      <alignment horizontal="center" vertical="center" wrapText="1"/>
    </xf>
    <xf numFmtId="9" fontId="4" fillId="0" borderId="12" xfId="1" applyFont="1" applyFill="1" applyBorder="1" applyAlignment="1">
      <alignment horizontal="center" vertical="center" wrapText="1"/>
    </xf>
    <xf numFmtId="9" fontId="4" fillId="0" borderId="13" xfId="1" applyFont="1" applyFill="1" applyBorder="1" applyAlignment="1">
      <alignment horizontal="center" vertical="center" wrapText="1"/>
    </xf>
    <xf numFmtId="0" fontId="4" fillId="0" borderId="3" xfId="0" applyFont="1" applyFill="1" applyBorder="1"/>
    <xf numFmtId="0" fontId="4" fillId="0" borderId="1" xfId="0" applyFont="1" applyFill="1" applyBorder="1" applyAlignment="1">
      <alignment horizontal="left" vertical="top"/>
    </xf>
    <xf numFmtId="1" fontId="4" fillId="0" borderId="10" xfId="2" applyNumberFormat="1" applyFont="1" applyFill="1" applyBorder="1" applyAlignment="1">
      <alignment vertical="top" wrapText="1"/>
    </xf>
    <xf numFmtId="10" fontId="4" fillId="0" borderId="9" xfId="1" applyNumberFormat="1" applyFont="1" applyFill="1" applyBorder="1" applyAlignment="1">
      <alignment horizontal="center" vertical="top" wrapText="1"/>
    </xf>
    <xf numFmtId="1" fontId="4" fillId="0" borderId="9" xfId="2" applyNumberFormat="1" applyFont="1" applyFill="1" applyBorder="1" applyAlignment="1">
      <alignment vertical="top" wrapText="1"/>
    </xf>
    <xf numFmtId="0" fontId="4" fillId="0" borderId="3" xfId="2" applyFont="1" applyFill="1" applyBorder="1" applyAlignment="1">
      <alignment vertical="top"/>
    </xf>
    <xf numFmtId="0" fontId="4" fillId="0" borderId="0" xfId="2" applyFont="1" applyFill="1" applyBorder="1" applyAlignment="1">
      <alignment vertical="top"/>
    </xf>
    <xf numFmtId="0" fontId="4" fillId="0" borderId="1" xfId="2" applyFont="1" applyFill="1" applyBorder="1" applyAlignment="1">
      <alignment vertical="top"/>
    </xf>
    <xf numFmtId="0" fontId="13" fillId="0" borderId="0" xfId="0" applyFont="1" applyFill="1" applyAlignment="1">
      <alignment horizontal="center" vertical="center"/>
    </xf>
    <xf numFmtId="0" fontId="0" fillId="0" borderId="0" xfId="0" applyFill="1" applyAlignment="1">
      <alignment horizontal="center" vertical="center"/>
    </xf>
    <xf numFmtId="0" fontId="4" fillId="0" borderId="4" xfId="1" quotePrefix="1" applyNumberFormat="1" applyFont="1" applyFill="1" applyBorder="1" applyAlignment="1">
      <alignment horizontal="center" vertical="center" wrapText="1"/>
    </xf>
    <xf numFmtId="0" fontId="4" fillId="0" borderId="13" xfId="1" quotePrefix="1" applyNumberFormat="1" applyFont="1" applyFill="1" applyBorder="1" applyAlignment="1">
      <alignment horizontal="center" vertical="center" wrapText="1"/>
    </xf>
    <xf numFmtId="0" fontId="4" fillId="0" borderId="2" xfId="2" applyFont="1" applyFill="1" applyBorder="1" applyAlignment="1">
      <alignment vertical="center"/>
    </xf>
    <xf numFmtId="1" fontId="4" fillId="0" borderId="4" xfId="2" applyNumberFormat="1" applyFont="1" applyFill="1" applyBorder="1" applyAlignment="1">
      <alignment vertical="top" wrapText="1"/>
    </xf>
    <xf numFmtId="0" fontId="4" fillId="0" borderId="4" xfId="2" applyNumberFormat="1" applyFont="1" applyFill="1" applyBorder="1" applyAlignment="1">
      <alignment horizontal="center" vertical="top" wrapText="1"/>
    </xf>
    <xf numFmtId="0" fontId="4" fillId="0" borderId="12" xfId="2" applyFont="1" applyFill="1" applyBorder="1" applyAlignment="1">
      <alignment vertical="center"/>
    </xf>
    <xf numFmtId="1" fontId="4" fillId="0" borderId="14" xfId="2" applyNumberFormat="1" applyFont="1" applyFill="1" applyBorder="1" applyAlignment="1">
      <alignment vertical="top" wrapText="1"/>
    </xf>
    <xf numFmtId="1" fontId="4" fillId="0" borderId="13" xfId="2" applyNumberFormat="1" applyFont="1" applyFill="1" applyBorder="1" applyAlignment="1">
      <alignment vertical="top" wrapText="1"/>
    </xf>
    <xf numFmtId="0" fontId="4" fillId="0" borderId="13" xfId="2" applyNumberFormat="1" applyFont="1" applyFill="1" applyBorder="1" applyAlignment="1">
      <alignment horizontal="center" vertical="top" wrapText="1"/>
    </xf>
    <xf numFmtId="0" fontId="4" fillId="0" borderId="2" xfId="2" applyFont="1" applyFill="1" applyBorder="1" applyAlignment="1">
      <alignment vertical="top" wrapText="1"/>
    </xf>
    <xf numFmtId="0" fontId="4" fillId="0" borderId="4" xfId="2" quotePrefix="1" applyNumberFormat="1" applyFont="1" applyFill="1" applyBorder="1" applyAlignment="1">
      <alignment horizontal="left" vertical="top" wrapText="1"/>
    </xf>
    <xf numFmtId="1" fontId="4" fillId="0" borderId="9" xfId="2" applyNumberFormat="1" applyFont="1" applyFill="1" applyBorder="1" applyAlignment="1">
      <alignment horizontal="center" vertical="top" wrapText="1"/>
    </xf>
    <xf numFmtId="1" fontId="4" fillId="0" borderId="14" xfId="2" applyNumberFormat="1" applyFont="1" applyFill="1" applyBorder="1" applyAlignment="1">
      <alignment horizontal="left" vertical="top" wrapText="1"/>
    </xf>
    <xf numFmtId="1" fontId="4" fillId="0" borderId="13" xfId="2" applyNumberFormat="1" applyFont="1" applyFill="1" applyBorder="1" applyAlignment="1">
      <alignment horizontal="center" vertical="top" wrapText="1"/>
    </xf>
    <xf numFmtId="1" fontId="4" fillId="0" borderId="12" xfId="2" applyNumberFormat="1" applyFont="1" applyFill="1" applyBorder="1" applyAlignment="1">
      <alignment horizontal="center" vertical="top" wrapText="1"/>
    </xf>
    <xf numFmtId="1" fontId="4" fillId="0" borderId="8" xfId="2" applyNumberFormat="1" applyFont="1" applyFill="1" applyBorder="1" applyAlignment="1">
      <alignment horizontal="center" vertical="top" wrapText="1"/>
    </xf>
    <xf numFmtId="0" fontId="19" fillId="0" borderId="0" xfId="0" applyFont="1" applyFill="1" applyAlignment="1">
      <alignment vertical="center"/>
    </xf>
    <xf numFmtId="0" fontId="4" fillId="0" borderId="0" xfId="5" applyNumberFormat="1" applyFont="1" applyFill="1" applyBorder="1" applyAlignment="1">
      <alignment horizontal="center"/>
    </xf>
    <xf numFmtId="0" fontId="5" fillId="0" borderId="0" xfId="3" applyFill="1" applyBorder="1" applyAlignment="1" applyProtection="1">
      <alignment vertical="center"/>
    </xf>
    <xf numFmtId="0" fontId="4" fillId="0" borderId="12" xfId="0" applyFont="1" applyFill="1" applyBorder="1" applyAlignment="1">
      <alignment vertical="center" wrapText="1"/>
    </xf>
    <xf numFmtId="0" fontId="4" fillId="0" borderId="2" xfId="2" applyFont="1" applyFill="1" applyBorder="1" applyAlignment="1">
      <alignment horizontal="left" vertical="top" wrapText="1"/>
    </xf>
    <xf numFmtId="0" fontId="4" fillId="0" borderId="8" xfId="2" applyFont="1" applyFill="1" applyBorder="1" applyAlignment="1">
      <alignment horizontal="left" vertical="center" wrapText="1"/>
    </xf>
    <xf numFmtId="0" fontId="4" fillId="0" borderId="12" xfId="2" applyFont="1" applyFill="1" applyBorder="1" applyAlignment="1">
      <alignment horizontal="left" vertical="center" wrapText="1"/>
    </xf>
    <xf numFmtId="0" fontId="4" fillId="0" borderId="2" xfId="2" applyFont="1" applyFill="1" applyBorder="1" applyAlignment="1">
      <alignment vertical="top"/>
    </xf>
    <xf numFmtId="1" fontId="4" fillId="0" borderId="2" xfId="1" applyNumberFormat="1" applyFont="1" applyFill="1" applyBorder="1" applyAlignment="1">
      <alignment horizontal="center" vertical="top" wrapText="1"/>
    </xf>
    <xf numFmtId="1" fontId="4" fillId="0" borderId="8" xfId="1" applyNumberFormat="1" applyFont="1" applyFill="1" applyBorder="1" applyAlignment="1">
      <alignment horizontal="center" vertical="top" wrapText="1"/>
    </xf>
    <xf numFmtId="1" fontId="4" fillId="0" borderId="12" xfId="1" applyNumberFormat="1" applyFont="1" applyFill="1" applyBorder="1" applyAlignment="1">
      <alignment horizontal="center" vertical="top" wrapText="1"/>
    </xf>
    <xf numFmtId="166" fontId="4" fillId="0" borderId="8" xfId="1" applyNumberFormat="1" applyFont="1" applyFill="1" applyBorder="1" applyAlignment="1">
      <alignment horizontal="center" vertical="top" wrapText="1"/>
    </xf>
    <xf numFmtId="1" fontId="4" fillId="0" borderId="2" xfId="1" applyNumberFormat="1" applyFont="1" applyFill="1" applyBorder="1" applyAlignment="1">
      <alignment horizontal="center" vertical="center" wrapText="1"/>
    </xf>
    <xf numFmtId="1" fontId="4" fillId="0" borderId="8" xfId="1" applyNumberFormat="1" applyFont="1" applyFill="1" applyBorder="1" applyAlignment="1">
      <alignment horizontal="center" vertical="center" wrapText="1"/>
    </xf>
    <xf numFmtId="1" fontId="4" fillId="0" borderId="12" xfId="1" applyNumberFormat="1" applyFont="1" applyFill="1" applyBorder="1" applyAlignment="1">
      <alignment horizontal="center" vertical="center" wrapText="1"/>
    </xf>
    <xf numFmtId="1" fontId="4" fillId="0" borderId="2" xfId="2" applyNumberFormat="1" applyFont="1" applyFill="1" applyBorder="1" applyAlignment="1">
      <alignment horizontal="center" vertical="top" wrapText="1"/>
    </xf>
    <xf numFmtId="0" fontId="4" fillId="0" borderId="8" xfId="0" applyFont="1" applyFill="1" applyBorder="1" applyAlignment="1">
      <alignment horizontal="center" vertical="top"/>
    </xf>
    <xf numFmtId="0" fontId="13" fillId="0" borderId="14" xfId="0" applyFont="1" applyFill="1" applyBorder="1" applyAlignment="1">
      <alignment horizontal="center" vertical="center"/>
    </xf>
    <xf numFmtId="165" fontId="4" fillId="0" borderId="10" xfId="1" applyNumberFormat="1" applyFont="1" applyFill="1" applyBorder="1" applyAlignment="1">
      <alignment horizontal="center" vertical="top" wrapText="1"/>
    </xf>
    <xf numFmtId="165" fontId="4" fillId="0" borderId="11" xfId="1" applyNumberFormat="1" applyFont="1" applyFill="1" applyBorder="1" applyAlignment="1">
      <alignment horizontal="center" vertical="top" wrapText="1"/>
    </xf>
    <xf numFmtId="10" fontId="4" fillId="0" borderId="11" xfId="1" applyNumberFormat="1" applyFont="1" applyFill="1" applyBorder="1" applyAlignment="1">
      <alignment horizontal="center" vertical="top" wrapText="1"/>
    </xf>
    <xf numFmtId="10" fontId="4" fillId="0" borderId="10" xfId="1" applyNumberFormat="1" applyFont="1" applyFill="1" applyBorder="1" applyAlignment="1">
      <alignment horizontal="center" vertical="top" wrapText="1"/>
    </xf>
    <xf numFmtId="165" fontId="4" fillId="0" borderId="10" xfId="1" applyNumberFormat="1" applyFont="1" applyFill="1" applyBorder="1" applyAlignment="1">
      <alignment horizontal="center" vertical="center" wrapText="1"/>
    </xf>
    <xf numFmtId="165" fontId="4" fillId="0" borderId="11" xfId="1" applyNumberFormat="1" applyFont="1" applyFill="1" applyBorder="1" applyAlignment="1">
      <alignment horizontal="center" vertical="center" wrapText="1"/>
    </xf>
    <xf numFmtId="165" fontId="4" fillId="0" borderId="14" xfId="1" applyNumberFormat="1" applyFont="1" applyFill="1" applyBorder="1" applyAlignment="1">
      <alignment horizontal="center" vertical="center" wrapText="1"/>
    </xf>
    <xf numFmtId="165" fontId="4" fillId="0" borderId="10" xfId="2" applyNumberFormat="1" applyFont="1" applyFill="1" applyBorder="1" applyAlignment="1">
      <alignment horizontal="center" vertical="top" wrapText="1"/>
    </xf>
    <xf numFmtId="165" fontId="4" fillId="0" borderId="11" xfId="2" applyNumberFormat="1" applyFont="1" applyFill="1" applyBorder="1" applyAlignment="1">
      <alignment horizontal="center" vertical="top" wrapText="1"/>
    </xf>
    <xf numFmtId="165" fontId="4" fillId="0" borderId="14" xfId="2" applyNumberFormat="1" applyFont="1" applyFill="1" applyBorder="1" applyAlignment="1">
      <alignment horizontal="center" vertical="top" wrapText="1"/>
    </xf>
    <xf numFmtId="9" fontId="4" fillId="0" borderId="11" xfId="1" applyNumberFormat="1" applyFont="1" applyFill="1" applyBorder="1" applyAlignment="1">
      <alignment horizontal="center" vertical="top" wrapText="1"/>
    </xf>
    <xf numFmtId="10" fontId="4" fillId="0" borderId="14" xfId="1" applyNumberFormat="1" applyFont="1" applyFill="1" applyBorder="1" applyAlignment="1">
      <alignment horizontal="center" vertical="top" wrapText="1"/>
    </xf>
    <xf numFmtId="10" fontId="4" fillId="0" borderId="11" xfId="0" applyNumberFormat="1" applyFont="1" applyFill="1" applyBorder="1" applyAlignment="1">
      <alignment horizontal="right" vertical="top"/>
    </xf>
    <xf numFmtId="1" fontId="4" fillId="0" borderId="2" xfId="1" quotePrefix="1" applyNumberFormat="1" applyFont="1" applyFill="1" applyBorder="1" applyAlignment="1">
      <alignment horizontal="center" vertical="top" wrapText="1"/>
    </xf>
    <xf numFmtId="1" fontId="4" fillId="0" borderId="8" xfId="1" quotePrefix="1" applyNumberFormat="1" applyFont="1" applyFill="1" applyBorder="1" applyAlignment="1">
      <alignment horizontal="center" vertical="top" wrapText="1"/>
    </xf>
    <xf numFmtId="0" fontId="4" fillId="0" borderId="9" xfId="2" applyNumberFormat="1" applyFont="1" applyFill="1" applyBorder="1" applyAlignment="1">
      <alignment horizontal="center" vertical="top" wrapText="1"/>
    </xf>
    <xf numFmtId="1" fontId="4" fillId="0" borderId="8" xfId="1" quotePrefix="1" applyNumberFormat="1" applyFont="1" applyFill="1" applyBorder="1" applyAlignment="1">
      <alignment horizontal="center" vertical="center" wrapText="1"/>
    </xf>
    <xf numFmtId="1" fontId="4" fillId="0" borderId="2" xfId="2" quotePrefix="1" applyNumberFormat="1" applyFont="1" applyFill="1" applyBorder="1" applyAlignment="1">
      <alignment horizontal="center" vertical="top" wrapText="1"/>
    </xf>
    <xf numFmtId="1" fontId="4" fillId="0" borderId="12" xfId="2" quotePrefix="1" applyNumberFormat="1" applyFont="1" applyFill="1" applyBorder="1" applyAlignment="1">
      <alignment horizontal="center" vertical="top" wrapText="1"/>
    </xf>
    <xf numFmtId="1" fontId="4" fillId="0" borderId="9" xfId="2" quotePrefix="1" applyNumberFormat="1" applyFont="1" applyFill="1" applyBorder="1" applyAlignment="1">
      <alignment horizontal="center" vertical="top" wrapText="1"/>
    </xf>
    <xf numFmtId="9" fontId="4" fillId="0" borderId="2" xfId="1" applyFont="1" applyFill="1" applyBorder="1" applyAlignment="1">
      <alignment vertical="top" wrapText="1"/>
    </xf>
    <xf numFmtId="9" fontId="4" fillId="0" borderId="4" xfId="1" applyFont="1" applyFill="1" applyBorder="1" applyAlignment="1">
      <alignment vertical="top" wrapText="1"/>
    </xf>
    <xf numFmtId="9" fontId="4" fillId="0" borderId="8" xfId="1" applyFont="1" applyFill="1" applyBorder="1" applyAlignment="1">
      <alignment vertical="top" wrapText="1"/>
    </xf>
    <xf numFmtId="9" fontId="4" fillId="0" borderId="9" xfId="1" applyFont="1" applyFill="1" applyBorder="1" applyAlignment="1">
      <alignment vertical="top" wrapText="1"/>
    </xf>
    <xf numFmtId="9" fontId="4" fillId="0" borderId="10" xfId="2" applyNumberFormat="1" applyFont="1" applyFill="1" applyBorder="1" applyAlignment="1">
      <alignment horizontal="center" vertical="center" wrapText="1"/>
    </xf>
    <xf numFmtId="9" fontId="4" fillId="0" borderId="11" xfId="2" applyNumberFormat="1" applyFont="1" applyFill="1" applyBorder="1" applyAlignment="1">
      <alignment horizontal="center" vertical="center" wrapText="1"/>
    </xf>
    <xf numFmtId="9" fontId="4" fillId="0" borderId="11" xfId="1" applyFont="1" applyFill="1" applyBorder="1" applyAlignment="1">
      <alignment horizontal="center" vertical="center" wrapText="1"/>
    </xf>
    <xf numFmtId="9" fontId="4" fillId="0" borderId="14" xfId="1" applyFont="1" applyFill="1" applyBorder="1" applyAlignment="1">
      <alignment horizontal="center" vertical="center" wrapText="1"/>
    </xf>
    <xf numFmtId="9" fontId="4" fillId="0" borderId="10" xfId="2" applyNumberFormat="1" applyFont="1" applyFill="1" applyBorder="1" applyAlignment="1">
      <alignment horizontal="center" vertical="top" wrapText="1"/>
    </xf>
    <xf numFmtId="9" fontId="4" fillId="0" borderId="11" xfId="2" applyNumberFormat="1" applyFont="1" applyFill="1" applyBorder="1" applyAlignment="1">
      <alignment horizontal="center" vertical="top" wrapText="1"/>
    </xf>
    <xf numFmtId="1" fontId="4" fillId="0" borderId="14" xfId="2" applyNumberFormat="1" applyFont="1" applyFill="1" applyBorder="1" applyAlignment="1">
      <alignment horizontal="center" vertical="top" wrapText="1"/>
    </xf>
    <xf numFmtId="9" fontId="4" fillId="0" borderId="10" xfId="1" applyFont="1" applyFill="1" applyBorder="1" applyAlignment="1">
      <alignment horizontal="center" vertical="center" wrapText="1"/>
    </xf>
    <xf numFmtId="9" fontId="4" fillId="0" borderId="14" xfId="2" applyNumberFormat="1" applyFont="1" applyFill="1" applyBorder="1" applyAlignment="1">
      <alignment horizontal="center" vertical="top" wrapText="1"/>
    </xf>
    <xf numFmtId="1" fontId="4" fillId="0" borderId="11" xfId="2" applyNumberFormat="1" applyFont="1" applyFill="1" applyBorder="1" applyAlignment="1">
      <alignment horizontal="center" vertical="top" wrapText="1"/>
    </xf>
    <xf numFmtId="0" fontId="4" fillId="0" borderId="14" xfId="2" applyFont="1" applyFill="1" applyBorder="1" applyAlignment="1">
      <alignment vertical="top"/>
    </xf>
    <xf numFmtId="0" fontId="4" fillId="0" borderId="6" xfId="5" applyFont="1" applyFill="1" applyBorder="1" applyAlignment="1">
      <alignment horizontal="left" vertical="top" wrapText="1"/>
    </xf>
    <xf numFmtId="9" fontId="4" fillId="0" borderId="6" xfId="5" applyNumberFormat="1" applyFont="1" applyFill="1" applyBorder="1" applyAlignment="1">
      <alignment horizontal="left" vertical="top" wrapText="1"/>
    </xf>
    <xf numFmtId="9" fontId="13" fillId="0" borderId="6" xfId="1" applyNumberFormat="1" applyFont="1" applyFill="1" applyBorder="1" applyAlignment="1">
      <alignment horizontal="left" vertical="top" wrapText="1"/>
    </xf>
    <xf numFmtId="9" fontId="13" fillId="0" borderId="4" xfId="1" applyFont="1" applyFill="1" applyBorder="1" applyAlignment="1">
      <alignment horizontal="left" vertical="top" wrapText="1"/>
    </xf>
    <xf numFmtId="0" fontId="4" fillId="0" borderId="12" xfId="5" applyFont="1" applyFill="1" applyBorder="1" applyAlignment="1">
      <alignment horizontal="left" vertical="top" wrapText="1"/>
    </xf>
    <xf numFmtId="0" fontId="4" fillId="0" borderId="1" xfId="5" applyFont="1" applyFill="1" applyBorder="1" applyAlignment="1">
      <alignment horizontal="left" vertical="top" wrapText="1"/>
    </xf>
    <xf numFmtId="9" fontId="4" fillId="0" borderId="1" xfId="2" applyNumberFormat="1" applyFont="1" applyFill="1" applyBorder="1" applyAlignment="1">
      <alignment horizontal="left" vertical="top" wrapText="1"/>
    </xf>
    <xf numFmtId="10" fontId="4" fillId="0" borderId="1" xfId="2" applyNumberFormat="1" applyFont="1" applyFill="1" applyBorder="1" applyAlignment="1">
      <alignment horizontal="left" vertical="top" wrapText="1"/>
    </xf>
    <xf numFmtId="9" fontId="13" fillId="0" borderId="1" xfId="1" applyFont="1" applyFill="1" applyBorder="1" applyAlignment="1">
      <alignment horizontal="left" vertical="top" wrapText="1"/>
    </xf>
    <xf numFmtId="9" fontId="13" fillId="0" borderId="13" xfId="1" applyFont="1" applyFill="1" applyBorder="1" applyAlignment="1">
      <alignment horizontal="left" vertical="top" wrapText="1"/>
    </xf>
    <xf numFmtId="9" fontId="4" fillId="0" borderId="4" xfId="1" quotePrefix="1" applyFont="1" applyFill="1" applyBorder="1" applyAlignment="1">
      <alignment horizontal="left" vertical="top" wrapText="1"/>
    </xf>
    <xf numFmtId="0" fontId="4" fillId="0" borderId="2" xfId="5" applyFont="1" applyFill="1" applyBorder="1" applyAlignment="1">
      <alignment vertical="top"/>
    </xf>
    <xf numFmtId="1" fontId="4" fillId="0" borderId="4" xfId="5" quotePrefix="1" applyNumberFormat="1" applyFont="1" applyFill="1" applyBorder="1" applyAlignment="1">
      <alignment horizontal="left" vertical="top" wrapText="1"/>
    </xf>
    <xf numFmtId="0" fontId="4" fillId="0" borderId="6"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6" xfId="2" quotePrefix="1" applyFont="1" applyFill="1" applyBorder="1" applyAlignment="1">
      <alignment horizontal="left" vertical="top" wrapText="1"/>
    </xf>
    <xf numFmtId="0" fontId="4" fillId="0" borderId="7" xfId="2" quotePrefix="1" applyFont="1" applyFill="1" applyBorder="1" applyAlignment="1">
      <alignment horizontal="left" vertical="top" wrapText="1"/>
    </xf>
    <xf numFmtId="0" fontId="0" fillId="0" borderId="6" xfId="0" applyFill="1" applyBorder="1"/>
    <xf numFmtId="0" fontId="4" fillId="0" borderId="3" xfId="2" applyFont="1" applyFill="1" applyBorder="1" applyAlignment="1">
      <alignment horizontal="left" vertical="top" wrapText="1"/>
    </xf>
    <xf numFmtId="9" fontId="4" fillId="0" borderId="3" xfId="2" applyNumberFormat="1" applyFont="1" applyFill="1" applyBorder="1" applyAlignment="1">
      <alignment horizontal="left" vertical="top" wrapText="1"/>
    </xf>
    <xf numFmtId="0" fontId="4" fillId="0" borderId="8" xfId="5" applyFont="1" applyFill="1" applyBorder="1" applyAlignment="1">
      <alignment vertical="top"/>
    </xf>
    <xf numFmtId="0" fontId="4" fillId="0" borderId="8" xfId="2" applyFont="1" applyFill="1" applyBorder="1" applyAlignment="1">
      <alignment horizontal="left" vertical="top" wrapText="1"/>
    </xf>
    <xf numFmtId="0" fontId="4" fillId="0" borderId="0" xfId="2" applyFont="1" applyFill="1" applyBorder="1" applyAlignment="1">
      <alignment horizontal="left" vertical="top" wrapText="1"/>
    </xf>
    <xf numFmtId="10" fontId="4" fillId="0" borderId="0" xfId="2" applyNumberFormat="1" applyFont="1" applyFill="1" applyBorder="1" applyAlignment="1">
      <alignment horizontal="left" vertical="top" wrapText="1"/>
    </xf>
    <xf numFmtId="0" fontId="4" fillId="0" borderId="9" xfId="5" applyFont="1" applyFill="1" applyBorder="1" applyAlignment="1">
      <alignment horizontal="left" vertical="top" wrapText="1"/>
    </xf>
    <xf numFmtId="165" fontId="4" fillId="0" borderId="0" xfId="2" applyNumberFormat="1" applyFont="1" applyFill="1" applyBorder="1" applyAlignment="1">
      <alignment horizontal="left" vertical="top" wrapText="1"/>
    </xf>
    <xf numFmtId="9" fontId="4" fillId="0" borderId="9" xfId="1" applyNumberFormat="1" applyFont="1" applyFill="1" applyBorder="1" applyAlignment="1">
      <alignment horizontal="left" vertical="top" wrapText="1"/>
    </xf>
    <xf numFmtId="9" fontId="13" fillId="0" borderId="7" xfId="1" applyNumberFormat="1" applyFont="1" applyFill="1" applyBorder="1" applyAlignment="1">
      <alignment horizontal="left" vertical="top" wrapText="1"/>
    </xf>
    <xf numFmtId="0" fontId="4" fillId="0" borderId="12" xfId="5" applyFont="1" applyFill="1" applyBorder="1" applyAlignment="1">
      <alignment vertical="top"/>
    </xf>
    <xf numFmtId="0" fontId="3" fillId="0" borderId="12" xfId="5" applyFont="1" applyFill="1" applyBorder="1" applyAlignment="1">
      <alignment horizontal="left" vertical="top" wrapText="1"/>
    </xf>
    <xf numFmtId="0" fontId="4" fillId="0" borderId="12" xfId="2" applyFont="1" applyFill="1" applyBorder="1" applyAlignment="1">
      <alignment horizontal="left" vertical="top" wrapText="1"/>
    </xf>
    <xf numFmtId="0" fontId="4" fillId="0" borderId="1" xfId="2" applyFont="1" applyFill="1" applyBorder="1" applyAlignment="1">
      <alignment horizontal="left" vertical="top" wrapText="1"/>
    </xf>
    <xf numFmtId="9" fontId="13" fillId="0" borderId="1" xfId="1" applyNumberFormat="1" applyFont="1" applyFill="1" applyBorder="1" applyAlignment="1">
      <alignment horizontal="left" vertical="top" wrapText="1"/>
    </xf>
    <xf numFmtId="9" fontId="13" fillId="0" borderId="13" xfId="1" applyNumberFormat="1" applyFont="1" applyFill="1" applyBorder="1" applyAlignment="1">
      <alignment horizontal="left" vertical="top" wrapText="1"/>
    </xf>
    <xf numFmtId="9" fontId="4" fillId="0" borderId="10" xfId="1" applyFont="1" applyFill="1" applyBorder="1" applyAlignment="1">
      <alignment horizontal="left" vertical="top" wrapText="1"/>
    </xf>
    <xf numFmtId="9" fontId="4" fillId="0" borderId="2" xfId="2" applyNumberFormat="1" applyFont="1" applyFill="1" applyBorder="1" applyAlignment="1">
      <alignment horizontal="left" vertical="top" wrapText="1"/>
    </xf>
    <xf numFmtId="9" fontId="4" fillId="0" borderId="4" xfId="2" applyNumberFormat="1" applyFont="1" applyFill="1" applyBorder="1" applyAlignment="1">
      <alignment horizontal="left" vertical="top" wrapText="1"/>
    </xf>
    <xf numFmtId="0" fontId="4" fillId="0" borderId="14" xfId="5" applyFont="1" applyFill="1" applyBorder="1" applyAlignment="1">
      <alignment horizontal="left" vertical="top" wrapText="1"/>
    </xf>
    <xf numFmtId="9" fontId="13" fillId="0" borderId="12" xfId="1" applyNumberFormat="1" applyFont="1" applyFill="1" applyBorder="1" applyAlignment="1">
      <alignment horizontal="left" vertical="top" wrapText="1"/>
    </xf>
    <xf numFmtId="0" fontId="4" fillId="0" borderId="5" xfId="2" applyFont="1" applyFill="1" applyBorder="1" applyAlignment="1">
      <alignment vertical="top"/>
    </xf>
    <xf numFmtId="9" fontId="4" fillId="0" borderId="6" xfId="2" quotePrefix="1" applyNumberFormat="1" applyFont="1" applyFill="1" applyBorder="1" applyAlignment="1">
      <alignment horizontal="left" vertical="top" wrapText="1"/>
    </xf>
    <xf numFmtId="9" fontId="4" fillId="0" borderId="7" xfId="2" quotePrefix="1" applyNumberFormat="1" applyFont="1" applyFill="1" applyBorder="1" applyAlignment="1">
      <alignment horizontal="left" vertical="top" wrapText="1"/>
    </xf>
    <xf numFmtId="0" fontId="4" fillId="0" borderId="8" xfId="2" applyFont="1" applyFill="1" applyBorder="1" applyAlignment="1">
      <alignment horizontal="left" vertical="top"/>
    </xf>
    <xf numFmtId="0" fontId="4" fillId="0" borderId="4" xfId="2" applyFont="1" applyFill="1" applyBorder="1" applyAlignment="1">
      <alignment horizontal="left" vertical="top" wrapText="1"/>
    </xf>
    <xf numFmtId="9" fontId="4" fillId="0" borderId="4" xfId="1" applyNumberFormat="1" applyFont="1" applyFill="1" applyBorder="1" applyAlignment="1">
      <alignment horizontal="left" vertical="top" wrapText="1"/>
    </xf>
    <xf numFmtId="9" fontId="4" fillId="0" borderId="13" xfId="1" quotePrefix="1" applyFont="1" applyFill="1" applyBorder="1" applyAlignment="1">
      <alignment horizontal="left" vertical="top" wrapText="1"/>
    </xf>
    <xf numFmtId="1" fontId="4" fillId="0" borderId="0" xfId="5" applyNumberFormat="1" applyFont="1" applyFill="1" applyBorder="1" applyAlignment="1">
      <alignment horizontal="left" vertical="top" wrapText="1"/>
    </xf>
    <xf numFmtId="165" fontId="4" fillId="0" borderId="0" xfId="1" applyNumberFormat="1" applyFont="1" applyFill="1" applyBorder="1" applyAlignment="1">
      <alignment horizontal="left" vertical="top" wrapText="1"/>
    </xf>
    <xf numFmtId="9" fontId="4" fillId="0" borderId="0" xfId="5" applyNumberFormat="1" applyFont="1" applyFill="1" applyBorder="1" applyAlignment="1">
      <alignment horizontal="left" vertical="top" wrapText="1"/>
    </xf>
    <xf numFmtId="9" fontId="4" fillId="0" borderId="1" xfId="1" applyNumberFormat="1" applyFont="1" applyFill="1" applyBorder="1" applyAlignment="1">
      <alignment horizontal="left" vertical="top" wrapText="1"/>
    </xf>
    <xf numFmtId="9" fontId="4" fillId="0" borderId="13" xfId="1" applyNumberFormat="1" applyFont="1" applyFill="1" applyBorder="1" applyAlignment="1">
      <alignment horizontal="left" vertical="top" wrapText="1"/>
    </xf>
    <xf numFmtId="0" fontId="4" fillId="0" borderId="6" xfId="5" quotePrefix="1" applyFont="1" applyFill="1" applyBorder="1" applyAlignment="1">
      <alignment horizontal="left" vertical="top" wrapText="1"/>
    </xf>
    <xf numFmtId="9" fontId="4" fillId="0" borderId="1" xfId="5" applyNumberFormat="1" applyFont="1" applyFill="1" applyBorder="1" applyAlignment="1">
      <alignment horizontal="left" vertical="top" wrapText="1"/>
    </xf>
    <xf numFmtId="0" fontId="3" fillId="0" borderId="8" xfId="2" applyFont="1" applyFill="1" applyBorder="1" applyAlignment="1">
      <alignment horizontal="left" vertical="top" wrapText="1"/>
    </xf>
    <xf numFmtId="9" fontId="4" fillId="0" borderId="0" xfId="2" quotePrefix="1" applyNumberFormat="1" applyFont="1" applyFill="1" applyBorder="1" applyAlignment="1">
      <alignment horizontal="left" vertical="top" wrapText="1"/>
    </xf>
    <xf numFmtId="0" fontId="4" fillId="0" borderId="3" xfId="2" quotePrefix="1" applyFont="1" applyFill="1" applyBorder="1" applyAlignment="1">
      <alignment horizontal="left" vertical="top" wrapText="1"/>
    </xf>
    <xf numFmtId="0" fontId="4" fillId="0" borderId="12" xfId="2" applyFont="1" applyFill="1" applyBorder="1" applyAlignment="1">
      <alignment vertical="top"/>
    </xf>
    <xf numFmtId="0" fontId="4" fillId="0" borderId="4" xfId="2" quotePrefix="1" applyFont="1" applyFill="1" applyBorder="1" applyAlignment="1">
      <alignment horizontal="left" vertical="top" wrapText="1"/>
    </xf>
    <xf numFmtId="0" fontId="4" fillId="0" borderId="12" xfId="5" applyFont="1" applyFill="1" applyBorder="1" applyAlignment="1">
      <alignment horizontal="left" vertical="top"/>
    </xf>
    <xf numFmtId="0" fontId="4" fillId="0" borderId="1" xfId="2" quotePrefix="1" applyFont="1" applyFill="1" applyBorder="1" applyAlignment="1">
      <alignment horizontal="left" vertical="top" wrapText="1"/>
    </xf>
    <xf numFmtId="0" fontId="4" fillId="0" borderId="13" xfId="2" quotePrefix="1" applyFont="1" applyFill="1" applyBorder="1" applyAlignment="1">
      <alignment horizontal="left" vertical="top" wrapText="1"/>
    </xf>
    <xf numFmtId="0" fontId="4" fillId="0" borderId="0" xfId="2" quotePrefix="1" applyFont="1" applyFill="1" applyBorder="1" applyAlignment="1">
      <alignment horizontal="left" vertical="top" wrapText="1"/>
    </xf>
    <xf numFmtId="0" fontId="4" fillId="0" borderId="9" xfId="2" quotePrefix="1" applyFont="1" applyFill="1" applyBorder="1" applyAlignment="1">
      <alignment horizontal="left" vertical="top" wrapText="1"/>
    </xf>
    <xf numFmtId="0" fontId="4" fillId="0" borderId="11" xfId="5" applyFont="1" applyFill="1" applyBorder="1" applyAlignment="1">
      <alignment horizontal="left" vertical="top" wrapText="1"/>
    </xf>
    <xf numFmtId="10" fontId="4" fillId="0" borderId="12"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7" xfId="0" applyFont="1" applyFill="1" applyBorder="1" applyAlignment="1">
      <alignment vertical="top"/>
    </xf>
    <xf numFmtId="0" fontId="4" fillId="0" borderId="6" xfId="0" applyFont="1" applyFill="1" applyBorder="1" applyAlignment="1">
      <alignment vertical="top" wrapText="1"/>
    </xf>
    <xf numFmtId="0" fontId="4" fillId="0" borderId="6" xfId="0" applyFont="1" applyFill="1" applyBorder="1"/>
    <xf numFmtId="0" fontId="4" fillId="0" borderId="7" xfId="0" applyFont="1" applyFill="1" applyBorder="1"/>
    <xf numFmtId="0" fontId="13" fillId="0" borderId="2" xfId="0" applyFont="1" applyFill="1" applyBorder="1"/>
    <xf numFmtId="0" fontId="6" fillId="0" borderId="0" xfId="0" applyFont="1" applyFill="1" applyAlignment="1">
      <alignment horizontal="center"/>
    </xf>
    <xf numFmtId="0" fontId="7" fillId="0" borderId="0" xfId="0" applyFont="1" applyFill="1" applyAlignment="1">
      <alignment horizontal="center"/>
    </xf>
    <xf numFmtId="0" fontId="8"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13" xfId="2" applyNumberFormat="1" applyFont="1" applyFill="1" applyBorder="1" applyAlignment="1">
      <alignment horizontal="left"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5" xfId="1" applyFont="1" applyFill="1" applyBorder="1" applyAlignment="1">
      <alignment horizontal="center" vertical="top" wrapText="1"/>
    </xf>
    <xf numFmtId="9" fontId="4" fillId="0" borderId="6" xfId="1" applyFont="1" applyFill="1" applyBorder="1" applyAlignment="1">
      <alignment horizontal="center" vertical="top" wrapText="1"/>
    </xf>
    <xf numFmtId="9" fontId="4" fillId="0" borderId="2" xfId="1" applyFont="1" applyFill="1" applyBorder="1" applyAlignment="1">
      <alignment horizontal="center" vertical="top" wrapText="1"/>
    </xf>
    <xf numFmtId="9" fontId="4" fillId="0" borderId="3" xfId="1" applyFont="1" applyFill="1" applyBorder="1" applyAlignment="1">
      <alignment horizontal="center" vertical="top" wrapText="1"/>
    </xf>
    <xf numFmtId="9" fontId="4" fillId="0" borderId="8" xfId="1"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0" fillId="0" borderId="0" xfId="0" applyFont="1" applyFill="1" applyAlignment="1">
      <alignment horizontal="center"/>
    </xf>
    <xf numFmtId="0" fontId="4" fillId="0" borderId="12"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vertical="center"/>
    </xf>
    <xf numFmtId="0" fontId="4" fillId="0" borderId="4" xfId="5" applyFont="1" applyFill="1" applyBorder="1" applyAlignment="1">
      <alignment horizontal="center" vertical="center"/>
    </xf>
    <xf numFmtId="0" fontId="4" fillId="0" borderId="8" xfId="5" applyFont="1" applyFill="1" applyBorder="1" applyAlignment="1">
      <alignment horizontal="center" vertical="center" wrapText="1"/>
    </xf>
    <xf numFmtId="0" fontId="4" fillId="0" borderId="0" xfId="0" applyFont="1" applyFill="1" applyAlignment="1">
      <alignment horizontal="left" vertical="center" wrapText="1"/>
    </xf>
    <xf numFmtId="0" fontId="13" fillId="0" borderId="4" xfId="0"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xf numFmtId="0" fontId="4" fillId="0" borderId="0" xfId="0" applyFont="1" applyFill="1" applyBorder="1" applyAlignment="1">
      <alignment vertical="top" wrapText="1"/>
    </xf>
    <xf numFmtId="0" fontId="10" fillId="0" borderId="7" xfId="5" applyFont="1" applyFill="1" applyBorder="1" applyAlignment="1">
      <alignment horizontal="left"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13" fillId="0" borderId="9" xfId="0" applyFont="1" applyFill="1" applyBorder="1" applyAlignment="1">
      <alignment vertical="center"/>
    </xf>
    <xf numFmtId="0" fontId="10" fillId="0" borderId="15" xfId="0" applyFont="1" applyFill="1" applyBorder="1" applyAlignment="1">
      <alignment vertical="center"/>
    </xf>
    <xf numFmtId="0" fontId="0" fillId="0" borderId="4" xfId="0" applyFill="1" applyBorder="1"/>
    <xf numFmtId="0" fontId="10" fillId="0" borderId="9" xfId="5" applyFont="1" applyFill="1" applyBorder="1" applyAlignment="1">
      <alignment horizontal="left" vertical="center"/>
    </xf>
    <xf numFmtId="0" fontId="0" fillId="0" borderId="9" xfId="0" applyFill="1" applyBorder="1"/>
    <xf numFmtId="1" fontId="3" fillId="0" borderId="10" xfId="1" applyNumberFormat="1" applyFont="1" applyFill="1" applyBorder="1" applyAlignment="1">
      <alignment vertical="top" wrapText="1"/>
    </xf>
    <xf numFmtId="1" fontId="3" fillId="0" borderId="11" xfId="1" applyNumberFormat="1" applyFont="1" applyFill="1" applyBorder="1" applyAlignment="1">
      <alignment vertical="top" wrapText="1"/>
    </xf>
    <xf numFmtId="1" fontId="3" fillId="0" borderId="14" xfId="1" applyNumberFormat="1" applyFont="1" applyFill="1" applyBorder="1" applyAlignment="1">
      <alignment vertical="top" wrapText="1"/>
    </xf>
    <xf numFmtId="165" fontId="4" fillId="0" borderId="4" xfId="1" applyNumberFormat="1" applyFont="1" applyFill="1" applyBorder="1" applyAlignment="1">
      <alignment horizontal="center" vertical="top" wrapText="1"/>
    </xf>
    <xf numFmtId="165" fontId="4" fillId="0" borderId="9" xfId="1" applyNumberFormat="1" applyFont="1" applyFill="1" applyBorder="1" applyAlignment="1">
      <alignment horizontal="center" vertical="top" wrapText="1"/>
    </xf>
    <xf numFmtId="0" fontId="3" fillId="0" borderId="5" xfId="5" applyFont="1" applyFill="1" applyBorder="1" applyAlignment="1">
      <alignment horizontal="left" vertical="top" wrapText="1"/>
    </xf>
    <xf numFmtId="0" fontId="3" fillId="0" borderId="8" xfId="5" applyFont="1" applyFill="1" applyBorder="1" applyAlignment="1">
      <alignment horizontal="left" vertical="top" wrapText="1"/>
    </xf>
    <xf numFmtId="165" fontId="4" fillId="0" borderId="6" xfId="5" applyNumberFormat="1" applyFont="1" applyFill="1" applyBorder="1" applyAlignment="1">
      <alignment horizontal="left" vertical="top" wrapText="1"/>
    </xf>
    <xf numFmtId="0" fontId="4" fillId="0" borderId="9" xfId="5" applyFont="1" applyFill="1" applyBorder="1" applyAlignment="1">
      <alignment horizontal="left" vertical="top"/>
    </xf>
    <xf numFmtId="9" fontId="4" fillId="0" borderId="0" xfId="1" quotePrefix="1" applyFont="1" applyFill="1" applyBorder="1" applyAlignment="1">
      <alignment horizontal="left" vertical="top" wrapText="1"/>
    </xf>
    <xf numFmtId="1" fontId="4" fillId="0" borderId="0" xfId="5" quotePrefix="1" applyNumberFormat="1" applyFont="1" applyFill="1" applyBorder="1" applyAlignment="1">
      <alignment horizontal="left" vertical="top" wrapText="1"/>
    </xf>
    <xf numFmtId="10" fontId="4" fillId="0" borderId="0" xfId="5" applyNumberFormat="1" applyFont="1" applyFill="1" applyBorder="1" applyAlignment="1">
      <alignment horizontal="left" vertical="top" wrapText="1"/>
    </xf>
    <xf numFmtId="1" fontId="3" fillId="0" borderId="10" xfId="1" applyNumberFormat="1" applyFont="1" applyFill="1" applyBorder="1" applyAlignment="1">
      <alignment horizontal="left" vertical="top" wrapText="1"/>
    </xf>
    <xf numFmtId="1" fontId="3" fillId="0" borderId="14" xfId="1" applyNumberFormat="1" applyFont="1" applyFill="1" applyBorder="1" applyAlignment="1">
      <alignment horizontal="left" vertical="top" wrapText="1"/>
    </xf>
    <xf numFmtId="10" fontId="3" fillId="0" borderId="8" xfId="0" applyNumberFormat="1" applyFont="1" applyFill="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9" fontId="4" fillId="0" borderId="5" xfId="2" applyNumberFormat="1" applyFont="1" applyFill="1" applyBorder="1" applyAlignment="1">
      <alignment horizontal="center" vertical="top" wrapText="1"/>
    </xf>
    <xf numFmtId="9" fontId="4" fillId="0" borderId="7" xfId="2" applyNumberFormat="1" applyFont="1" applyFill="1" applyBorder="1" applyAlignment="1">
      <alignment horizontal="center" vertical="top" wrapText="1"/>
    </xf>
    <xf numFmtId="9" fontId="4" fillId="0" borderId="5" xfId="2" applyNumberFormat="1" applyFont="1" applyFill="1" applyBorder="1" applyAlignment="1">
      <alignment horizontal="left" vertical="top" wrapText="1"/>
    </xf>
    <xf numFmtId="9" fontId="4" fillId="0" borderId="7" xfId="2" applyNumberFormat="1" applyFont="1" applyFill="1" applyBorder="1" applyAlignment="1">
      <alignment horizontal="left" vertical="top" wrapText="1"/>
    </xf>
    <xf numFmtId="9" fontId="4" fillId="0" borderId="5" xfId="1" applyFont="1" applyFill="1" applyBorder="1" applyAlignment="1">
      <alignment horizontal="center" vertical="top" wrapText="1"/>
    </xf>
    <xf numFmtId="9" fontId="4" fillId="0" borderId="7" xfId="1" applyFont="1" applyFill="1" applyBorder="1" applyAlignment="1">
      <alignment horizontal="center" vertical="top" wrapText="1"/>
    </xf>
    <xf numFmtId="9" fontId="4" fillId="0" borderId="12" xfId="1" applyFont="1" applyFill="1" applyBorder="1" applyAlignment="1">
      <alignment horizontal="center" vertical="top" wrapText="1"/>
    </xf>
    <xf numFmtId="9" fontId="4" fillId="0" borderId="13" xfId="1" applyFont="1" applyFill="1" applyBorder="1" applyAlignment="1">
      <alignment horizontal="center" vertical="top" wrapText="1"/>
    </xf>
    <xf numFmtId="9" fontId="4" fillId="0" borderId="12" xfId="2" applyNumberFormat="1" applyFont="1" applyFill="1" applyBorder="1" applyAlignment="1">
      <alignment horizontal="left" vertical="top" wrapText="1"/>
    </xf>
    <xf numFmtId="9" fontId="4" fillId="0" borderId="13" xfId="2" applyNumberFormat="1" applyFont="1" applyFill="1" applyBorder="1" applyAlignment="1">
      <alignment horizontal="left" vertical="top" wrapText="1"/>
    </xf>
    <xf numFmtId="0" fontId="6" fillId="0" borderId="0" xfId="0" applyFont="1" applyFill="1" applyAlignment="1">
      <alignment horizontal="center"/>
    </xf>
    <xf numFmtId="0" fontId="7" fillId="0" borderId="0" xfId="0" applyFont="1" applyFill="1" applyAlignment="1">
      <alignment horizontal="center"/>
    </xf>
    <xf numFmtId="0" fontId="8" fillId="0" borderId="0" xfId="4" applyFont="1" applyFill="1" applyAlignment="1">
      <alignment horizont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4" fillId="0" borderId="6" xfId="1" applyFont="1" applyFill="1" applyBorder="1" applyAlignment="1">
      <alignment horizontal="center" vertical="top" wrapText="1"/>
    </xf>
    <xf numFmtId="9" fontId="4" fillId="0" borderId="8" xfId="1" applyFont="1" applyFill="1" applyBorder="1" applyAlignment="1">
      <alignment horizontal="center" vertical="top" wrapText="1"/>
    </xf>
    <xf numFmtId="9" fontId="4" fillId="0" borderId="0" xfId="1" applyFont="1" applyFill="1" applyBorder="1" applyAlignment="1">
      <alignment horizontal="center" vertical="top" wrapText="1"/>
    </xf>
    <xf numFmtId="9" fontId="4" fillId="0" borderId="2" xfId="1" applyFont="1" applyFill="1" applyBorder="1" applyAlignment="1">
      <alignment horizontal="center" vertical="top" wrapText="1"/>
    </xf>
    <xf numFmtId="9" fontId="4" fillId="0" borderId="3" xfId="1" applyFont="1" applyFill="1" applyBorder="1" applyAlignment="1">
      <alignment horizontal="center" vertical="top" wrapText="1"/>
    </xf>
    <xf numFmtId="0" fontId="4" fillId="0" borderId="0" xfId="0" applyFont="1" applyFill="1" applyAlignment="1">
      <alignment horizontal="left" vertical="top" wrapText="1"/>
    </xf>
    <xf numFmtId="0" fontId="6" fillId="0" borderId="0" xfId="0" applyFont="1" applyFill="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0" fillId="0" borderId="0" xfId="0" applyFont="1" applyFill="1" applyAlignment="1">
      <alignment horizontal="center"/>
    </xf>
    <xf numFmtId="0" fontId="4" fillId="0" borderId="12"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13" xfId="5" applyFont="1" applyFill="1" applyBorder="1" applyAlignment="1">
      <alignment horizontal="center" vertical="center"/>
    </xf>
    <xf numFmtId="0" fontId="6" fillId="0" borderId="0" xfId="5" applyFont="1" applyFill="1" applyAlignment="1">
      <alignment horizontal="center"/>
    </xf>
    <xf numFmtId="0" fontId="6" fillId="0" borderId="0" xfId="5" applyFont="1" applyFill="1" applyAlignment="1">
      <alignment horizontal="center" vertic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1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2"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0" xfId="0" applyFont="1" applyFill="1" applyAlignment="1">
      <alignment horizontal="left"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Fill="1"/>
    <xf numFmtId="0" fontId="4" fillId="0" borderId="0" xfId="0" applyFont="1" applyFill="1" applyBorder="1" applyAlignment="1">
      <alignment vertical="top" wrapText="1"/>
    </xf>
    <xf numFmtId="0" fontId="4" fillId="0" borderId="0" xfId="0" applyFont="1" applyFill="1" applyAlignment="1">
      <alignment vertical="top"/>
    </xf>
    <xf numFmtId="0" fontId="6" fillId="3" borderId="0" xfId="0" applyFont="1" applyFill="1" applyBorder="1" applyAlignment="1">
      <alignment horizontal="center"/>
    </xf>
    <xf numFmtId="0" fontId="6" fillId="3" borderId="9" xfId="0" applyFont="1" applyFill="1" applyBorder="1" applyAlignment="1">
      <alignment horizontal="center"/>
    </xf>
    <xf numFmtId="0" fontId="6" fillId="3" borderId="1" xfId="0" applyFont="1" applyFill="1" applyBorder="1" applyAlignment="1">
      <alignment horizontal="center"/>
    </xf>
    <xf numFmtId="0" fontId="6" fillId="3" borderId="13" xfId="0" applyFont="1" applyFill="1" applyBorder="1" applyAlignment="1">
      <alignment horizontal="center"/>
    </xf>
  </cellXfs>
  <cellStyles count="6">
    <cellStyle name="Good" xfId="2" builtinId="26"/>
    <cellStyle name="Hyperlink" xfId="3" builtinId="8"/>
    <cellStyle name="Normal" xfId="0" builtinId="0"/>
    <cellStyle name="Normal 2" xfId="4" xr:uid="{00000000-0005-0000-0000-000003000000}"/>
    <cellStyle name="Normal 4" xfId="5"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XBEN/BACKUP/Projects/Policy-tables/test/Daniele/Policy-tables-2020-DP_EM%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nemployment Insurance"/>
      <sheetName val="Unemployment Assistance"/>
      <sheetName val="Social Assistance"/>
      <sheetName val="Housing Benefits"/>
      <sheetName val="Family provisions"/>
      <sheetName val="Employment-related provisions"/>
      <sheetName val="Tax treatment of benefits"/>
      <sheetName val="Average wages"/>
      <sheetName val="Sheet2"/>
    </sheetNames>
    <sheetDataSet>
      <sheetData sheetId="0"/>
      <sheetData sheetId="1"/>
      <sheetData sheetId="2"/>
      <sheetData sheetId="3"/>
      <sheetData sheetId="4"/>
      <sheetData sheetId="5"/>
      <sheetData sheetId="6"/>
      <sheetData sheetId="7"/>
      <sheetData sheetId="8">
        <row r="9">
          <cell r="B9">
            <v>418863.26</v>
          </cell>
        </row>
        <row r="20">
          <cell r="B20">
            <v>31316.761999999999</v>
          </cell>
        </row>
        <row r="21">
          <cell r="B21">
            <v>5114039.0999999996</v>
          </cell>
        </row>
        <row r="35">
          <cell r="B35">
            <v>65097.396999999997</v>
          </cell>
        </row>
        <row r="43">
          <cell r="B43">
            <v>25902</v>
          </cell>
        </row>
        <row r="44">
          <cell r="B44">
            <v>65148</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ecd.org/els/soc/benefits-and-wages.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ecd.org/els/soc/benefits-and-wages.ht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ecd.org/els/soc/benefits-and-wages.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els/soc/benefits-and-wage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els/soc/benefits-and-wages.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ls/soc/benefits-and-wages.ht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ecd.org/els/soc/benefits-and-wages.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ecd.org/els/soc/benefits-and-wag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Z11"/>
  <sheetViews>
    <sheetView tabSelected="1" workbookViewId="0"/>
  </sheetViews>
  <sheetFormatPr defaultRowHeight="13.2" x14ac:dyDescent="0.25"/>
  <cols>
    <col min="1" max="1" width="6.88671875" customWidth="1"/>
    <col min="2" max="2" width="10.5546875" customWidth="1"/>
  </cols>
  <sheetData>
    <row r="1" spans="1:26" x14ac:dyDescent="0.25">
      <c r="A1" s="1" t="s">
        <v>0</v>
      </c>
    </row>
    <row r="2" spans="1:26" x14ac:dyDescent="0.25">
      <c r="A2" s="2"/>
    </row>
    <row r="3" spans="1:26" x14ac:dyDescent="0.25">
      <c r="A3" s="581" t="s">
        <v>1</v>
      </c>
      <c r="B3" s="581"/>
      <c r="C3" s="581"/>
      <c r="D3" s="581"/>
      <c r="E3" s="581"/>
      <c r="F3" s="581"/>
      <c r="G3" s="581"/>
      <c r="H3" s="581"/>
      <c r="I3" s="581"/>
      <c r="J3" s="581"/>
      <c r="K3" s="581"/>
      <c r="L3" s="581"/>
      <c r="M3" s="581"/>
      <c r="N3" s="581"/>
      <c r="O3" s="581"/>
      <c r="P3" s="581"/>
      <c r="Q3" s="581"/>
      <c r="R3" s="581"/>
      <c r="S3" s="581"/>
      <c r="T3" s="581"/>
      <c r="U3" s="581"/>
      <c r="V3" s="581"/>
      <c r="W3" s="581"/>
      <c r="X3" s="581"/>
      <c r="Y3" s="581"/>
      <c r="Z3" s="581"/>
    </row>
    <row r="4" spans="1:26" x14ac:dyDescent="0.25">
      <c r="A4" s="581" t="s">
        <v>1382</v>
      </c>
      <c r="B4" s="581"/>
      <c r="C4" s="581"/>
      <c r="D4" s="581"/>
      <c r="E4" s="581"/>
      <c r="F4" s="581"/>
      <c r="G4" s="581"/>
      <c r="H4" s="581"/>
      <c r="I4" s="581"/>
      <c r="J4" s="581"/>
      <c r="K4" s="581"/>
      <c r="L4" s="581"/>
      <c r="M4" s="581"/>
      <c r="N4" s="581"/>
      <c r="O4" s="581"/>
      <c r="P4" s="581"/>
      <c r="Q4" s="581"/>
      <c r="R4" s="581"/>
      <c r="S4" s="581"/>
      <c r="T4" s="581"/>
      <c r="U4" s="581"/>
      <c r="V4" s="581"/>
      <c r="W4" s="581"/>
      <c r="X4" s="581"/>
      <c r="Y4" s="581"/>
      <c r="Z4" s="581"/>
    </row>
    <row r="5" spans="1:26" x14ac:dyDescent="0.25">
      <c r="A5" s="581" t="s">
        <v>1383</v>
      </c>
      <c r="B5" s="581"/>
      <c r="C5" s="581"/>
      <c r="D5" s="581"/>
      <c r="E5" s="581"/>
      <c r="F5" s="581"/>
      <c r="G5" s="581"/>
      <c r="H5" s="581"/>
      <c r="I5" s="581"/>
      <c r="J5" s="581"/>
      <c r="K5" s="581"/>
      <c r="L5" s="581"/>
      <c r="M5" s="581"/>
      <c r="N5" s="581"/>
      <c r="O5" s="581"/>
      <c r="P5" s="581"/>
      <c r="Q5" s="581"/>
      <c r="R5" s="581"/>
      <c r="S5" s="581"/>
      <c r="T5" s="581"/>
      <c r="U5" s="581"/>
      <c r="V5" s="581"/>
      <c r="W5" s="581"/>
      <c r="X5" s="581"/>
      <c r="Y5" s="581"/>
      <c r="Z5" s="581"/>
    </row>
    <row r="6" spans="1:26" ht="12.75" customHeight="1" x14ac:dyDescent="0.25">
      <c r="A6" s="580" t="s">
        <v>1384</v>
      </c>
      <c r="B6" s="580"/>
      <c r="C6" s="580"/>
      <c r="D6" s="580"/>
      <c r="E6" s="580"/>
      <c r="F6" s="580"/>
      <c r="G6" s="580"/>
      <c r="H6" s="580"/>
      <c r="I6" s="580"/>
      <c r="J6" s="580"/>
      <c r="K6" s="580"/>
      <c r="L6" s="580"/>
      <c r="M6" s="580"/>
      <c r="N6" s="580"/>
      <c r="O6" s="580"/>
      <c r="P6" s="580"/>
      <c r="Q6" s="580"/>
      <c r="R6" s="580"/>
      <c r="S6" s="580"/>
      <c r="T6" s="580"/>
      <c r="U6" s="580"/>
      <c r="V6" s="580"/>
      <c r="W6" s="580"/>
      <c r="X6" s="580"/>
      <c r="Y6" s="580"/>
      <c r="Z6" s="580"/>
    </row>
    <row r="7" spans="1:26" x14ac:dyDescent="0.25">
      <c r="A7" s="581" t="s">
        <v>2</v>
      </c>
      <c r="B7" s="581"/>
      <c r="C7" s="581"/>
      <c r="D7" s="581"/>
      <c r="E7" s="581"/>
      <c r="F7" s="581"/>
      <c r="G7" s="581"/>
      <c r="H7" s="581"/>
      <c r="I7" s="581"/>
      <c r="J7" s="581"/>
      <c r="K7" s="581"/>
      <c r="L7" s="581"/>
      <c r="M7" s="581"/>
      <c r="N7" s="581"/>
      <c r="O7" s="581"/>
      <c r="P7" s="581"/>
      <c r="Q7" s="581"/>
      <c r="R7" s="581"/>
      <c r="S7" s="581"/>
      <c r="T7" s="581"/>
      <c r="U7" s="581"/>
      <c r="V7" s="581"/>
      <c r="W7" s="581"/>
      <c r="X7" s="581"/>
      <c r="Y7" s="581"/>
      <c r="Z7" s="581"/>
    </row>
    <row r="8" spans="1:26" ht="12.75" customHeight="1" x14ac:dyDescent="0.25">
      <c r="B8" s="3" t="s">
        <v>3</v>
      </c>
      <c r="C8" s="580" t="s">
        <v>660</v>
      </c>
      <c r="D8" s="580"/>
      <c r="E8" s="580"/>
      <c r="F8" s="580"/>
      <c r="G8" s="580"/>
      <c r="H8" s="580"/>
      <c r="I8" s="580"/>
      <c r="J8" s="580"/>
      <c r="K8" s="580"/>
      <c r="L8" s="580"/>
      <c r="M8" s="580"/>
      <c r="N8" s="580"/>
      <c r="O8" s="580"/>
      <c r="P8" s="580"/>
      <c r="Q8" s="580"/>
      <c r="R8" s="580"/>
      <c r="S8" s="580"/>
      <c r="T8" s="580"/>
      <c r="U8" s="580"/>
      <c r="V8" s="580"/>
      <c r="W8" s="580"/>
      <c r="X8" s="580"/>
      <c r="Y8" s="580"/>
      <c r="Z8" s="580"/>
    </row>
    <row r="9" spans="1:26" ht="12.75" customHeight="1" x14ac:dyDescent="0.25">
      <c r="B9" s="3" t="s">
        <v>4</v>
      </c>
      <c r="C9" s="580" t="s">
        <v>1385</v>
      </c>
      <c r="D9" s="580"/>
      <c r="E9" s="580"/>
      <c r="F9" s="580"/>
      <c r="G9" s="580"/>
      <c r="H9" s="580"/>
      <c r="I9" s="580"/>
      <c r="J9" s="580"/>
      <c r="K9" s="580"/>
      <c r="L9" s="580"/>
      <c r="M9" s="580"/>
      <c r="N9" s="580"/>
      <c r="O9" s="580"/>
      <c r="P9" s="580"/>
      <c r="Q9" s="580"/>
      <c r="R9" s="580"/>
      <c r="S9" s="580"/>
      <c r="T9" s="580"/>
      <c r="U9" s="580"/>
      <c r="V9" s="580"/>
      <c r="W9" s="580"/>
      <c r="X9" s="580"/>
      <c r="Y9" s="580"/>
      <c r="Z9" s="580"/>
    </row>
    <row r="11" spans="1:26" x14ac:dyDescent="0.25">
      <c r="A11" s="4" t="s">
        <v>5</v>
      </c>
      <c r="B11" s="5" t="s">
        <v>6</v>
      </c>
    </row>
  </sheetData>
  <mergeCells count="7">
    <mergeCell ref="C9:Z9"/>
    <mergeCell ref="A3:Z3"/>
    <mergeCell ref="A4:Z4"/>
    <mergeCell ref="A5:Z5"/>
    <mergeCell ref="A6:Z6"/>
    <mergeCell ref="A7:Z7"/>
    <mergeCell ref="C8:Z8"/>
  </mergeCells>
  <hyperlinks>
    <hyperlink ref="B11" r:id="rId1" xr:uid="{00000000-0004-0000-0000-000000000000}"/>
  </hyperlinks>
  <pageMargins left="0.7" right="0.7" top="0.75" bottom="0.75" header="0.3" footer="0.3"/>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41"/>
  <sheetViews>
    <sheetView zoomScaleNormal="100" workbookViewId="0">
      <selection activeCell="B9" sqref="B9"/>
    </sheetView>
  </sheetViews>
  <sheetFormatPr defaultRowHeight="13.2" x14ac:dyDescent="0.25"/>
  <sheetData>
    <row r="1" spans="1:2" x14ac:dyDescent="0.25">
      <c r="A1" t="s">
        <v>583</v>
      </c>
      <c r="B1" t="s">
        <v>584</v>
      </c>
    </row>
    <row r="2" spans="1:2" x14ac:dyDescent="0.25">
      <c r="A2" t="s">
        <v>309</v>
      </c>
      <c r="B2">
        <v>90861</v>
      </c>
    </row>
    <row r="3" spans="1:2" x14ac:dyDescent="0.25">
      <c r="A3" t="s">
        <v>54</v>
      </c>
      <c r="B3">
        <v>48658.103373473743</v>
      </c>
    </row>
    <row r="4" spans="1:2" x14ac:dyDescent="0.25">
      <c r="A4" t="s">
        <v>240</v>
      </c>
      <c r="B4">
        <v>47720.332716461729</v>
      </c>
    </row>
    <row r="5" spans="1:2" x14ac:dyDescent="0.25">
      <c r="A5" t="s">
        <v>83</v>
      </c>
      <c r="B5">
        <v>16095.170639844899</v>
      </c>
    </row>
    <row r="6" spans="1:2" x14ac:dyDescent="0.25">
      <c r="A6" t="s">
        <v>310</v>
      </c>
      <c r="B6">
        <v>57291.615823615299</v>
      </c>
    </row>
    <row r="7" spans="1:2" x14ac:dyDescent="0.25">
      <c r="A7" t="s">
        <v>79</v>
      </c>
      <c r="B7">
        <v>87362.859042697499</v>
      </c>
    </row>
    <row r="8" spans="1:2" x14ac:dyDescent="0.25">
      <c r="A8" t="s">
        <v>56</v>
      </c>
      <c r="B8">
        <v>10279535</v>
      </c>
    </row>
    <row r="9" spans="1:2" x14ac:dyDescent="0.25">
      <c r="A9" t="s">
        <v>585</v>
      </c>
      <c r="B9">
        <v>23162.833250693464</v>
      </c>
    </row>
    <row r="10" spans="1:2" x14ac:dyDescent="0.25">
      <c r="A10" t="s">
        <v>57</v>
      </c>
      <c r="B10">
        <v>402261.20732123469</v>
      </c>
    </row>
    <row r="11" spans="1:2" x14ac:dyDescent="0.25">
      <c r="A11" t="s">
        <v>62</v>
      </c>
      <c r="B11">
        <v>52103.835231553465</v>
      </c>
    </row>
    <row r="12" spans="1:2" x14ac:dyDescent="0.25">
      <c r="A12" t="s">
        <v>58</v>
      </c>
      <c r="B12">
        <v>437093.87876620237</v>
      </c>
    </row>
    <row r="13" spans="1:2" x14ac:dyDescent="0.25">
      <c r="A13" t="s">
        <v>77</v>
      </c>
      <c r="B13">
        <v>26934.235867848995</v>
      </c>
    </row>
    <row r="14" spans="1:2" x14ac:dyDescent="0.25">
      <c r="A14" t="s">
        <v>59</v>
      </c>
      <c r="B14">
        <v>16636.73044759758</v>
      </c>
    </row>
    <row r="15" spans="1:2" x14ac:dyDescent="0.25">
      <c r="A15" t="s">
        <v>60</v>
      </c>
      <c r="B15">
        <v>45718.788867146606</v>
      </c>
    </row>
    <row r="16" spans="1:2" x14ac:dyDescent="0.25">
      <c r="A16" t="s">
        <v>61</v>
      </c>
      <c r="B16">
        <v>38187.939912298869</v>
      </c>
    </row>
    <row r="17" spans="1:2" x14ac:dyDescent="0.25">
      <c r="A17" t="s">
        <v>81</v>
      </c>
      <c r="B17">
        <v>41807.284682417005</v>
      </c>
    </row>
    <row r="18" spans="1:2" x14ac:dyDescent="0.25">
      <c r="A18" t="s">
        <v>63</v>
      </c>
      <c r="B18">
        <v>21139.214692709902</v>
      </c>
    </row>
    <row r="19" spans="1:2" x14ac:dyDescent="0.25">
      <c r="A19" t="s">
        <v>84</v>
      </c>
      <c r="B19">
        <v>103514.31578889703</v>
      </c>
    </row>
    <row r="20" spans="1:2" x14ac:dyDescent="0.25">
      <c r="A20" t="s">
        <v>64</v>
      </c>
      <c r="B20">
        <v>5011589.76554434</v>
      </c>
    </row>
    <row r="21" spans="1:2" x14ac:dyDescent="0.25">
      <c r="A21" t="s">
        <v>66</v>
      </c>
      <c r="B21">
        <v>46685.057918941704</v>
      </c>
    </row>
    <row r="22" spans="1:2" x14ac:dyDescent="0.25">
      <c r="A22" t="s">
        <v>65</v>
      </c>
      <c r="B22">
        <v>9247101.3906362541</v>
      </c>
    </row>
    <row r="23" spans="1:2" x14ac:dyDescent="0.25">
      <c r="A23" t="s">
        <v>67</v>
      </c>
      <c r="B23">
        <v>157092.64219875442</v>
      </c>
    </row>
    <row r="24" spans="1:2" x14ac:dyDescent="0.25">
      <c r="A24" t="s">
        <v>68</v>
      </c>
      <c r="B24">
        <v>30232.942350027566</v>
      </c>
    </row>
    <row r="25" spans="1:2" x14ac:dyDescent="0.25">
      <c r="A25" t="s">
        <v>69</v>
      </c>
      <c r="B25">
        <v>5185180.8843894061</v>
      </c>
    </row>
    <row r="26" spans="1:2" x14ac:dyDescent="0.25">
      <c r="A26" t="s">
        <v>70</v>
      </c>
      <c r="B26">
        <v>46020316.112404078</v>
      </c>
    </row>
    <row r="27" spans="1:2" x14ac:dyDescent="0.25">
      <c r="A27" t="s">
        <v>86</v>
      </c>
      <c r="B27">
        <v>16425.518309918611</v>
      </c>
    </row>
    <row r="28" spans="1:2" x14ac:dyDescent="0.25">
      <c r="A28" t="s">
        <v>71</v>
      </c>
      <c r="B28">
        <v>58039.910713162288</v>
      </c>
    </row>
    <row r="29" spans="1:2" x14ac:dyDescent="0.25">
      <c r="A29" t="s">
        <v>85</v>
      </c>
      <c r="B29">
        <v>12912.652792147241</v>
      </c>
    </row>
    <row r="30" spans="1:2" x14ac:dyDescent="0.25">
      <c r="A30" t="s">
        <v>192</v>
      </c>
      <c r="B30">
        <v>25902</v>
      </c>
    </row>
    <row r="31" spans="1:2" x14ac:dyDescent="0.25">
      <c r="A31" t="s">
        <v>72</v>
      </c>
      <c r="B31">
        <v>54842.870772855691</v>
      </c>
    </row>
    <row r="32" spans="1:2" x14ac:dyDescent="0.25">
      <c r="A32" t="s">
        <v>73</v>
      </c>
      <c r="B32">
        <v>627369.60910695046</v>
      </c>
    </row>
    <row r="33" spans="1:2" x14ac:dyDescent="0.25">
      <c r="A33" t="s">
        <v>187</v>
      </c>
      <c r="B33">
        <v>64150</v>
      </c>
    </row>
    <row r="34" spans="1:2" x14ac:dyDescent="0.25">
      <c r="A34" t="s">
        <v>244</v>
      </c>
      <c r="B34">
        <v>60914.712605537614</v>
      </c>
    </row>
    <row r="35" spans="1:2" x14ac:dyDescent="0.25">
      <c r="A35" t="s">
        <v>74</v>
      </c>
      <c r="B35">
        <v>19477.757160093603</v>
      </c>
    </row>
    <row r="36" spans="1:2" x14ac:dyDescent="0.25">
      <c r="A36" t="s">
        <v>87</v>
      </c>
      <c r="B36">
        <v>65148</v>
      </c>
    </row>
    <row r="37" spans="1:2" x14ac:dyDescent="0.25">
      <c r="A37" t="s">
        <v>75</v>
      </c>
      <c r="B37">
        <v>13200.3067695726</v>
      </c>
    </row>
    <row r="38" spans="1:2" x14ac:dyDescent="0.25">
      <c r="A38" t="s">
        <v>76</v>
      </c>
      <c r="B38">
        <v>20424.328424568183</v>
      </c>
    </row>
    <row r="39" spans="1:2" x14ac:dyDescent="0.25">
      <c r="A39" t="s">
        <v>78</v>
      </c>
      <c r="B39">
        <v>465766.79293861403</v>
      </c>
    </row>
    <row r="40" spans="1:2" x14ac:dyDescent="0.25">
      <c r="A40" t="s">
        <v>80</v>
      </c>
      <c r="B40">
        <v>74751</v>
      </c>
    </row>
    <row r="41" spans="1:2" x14ac:dyDescent="0.25">
      <c r="A41" t="s">
        <v>316</v>
      </c>
      <c r="B41">
        <v>60220.387317486115</v>
      </c>
    </row>
  </sheetData>
  <pageMargins left="0.7" right="0.7" top="0.75" bottom="0.75" header="0.3" footer="0.3"/>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63"/>
  <sheetViews>
    <sheetView zoomScale="70" zoomScaleNormal="70" workbookViewId="0">
      <pane xSplit="1" ySplit="10" topLeftCell="B11" activePane="bottomRight" state="frozen"/>
      <selection pane="topRight" activeCell="B1" sqref="B1"/>
      <selection pane="bottomLeft" activeCell="A11" sqref="A11"/>
      <selection pane="bottomRight" sqref="A1:O1"/>
    </sheetView>
  </sheetViews>
  <sheetFormatPr defaultColWidth="8.6640625" defaultRowHeight="13.2" x14ac:dyDescent="0.25"/>
  <cols>
    <col min="1" max="1" width="19.5546875" style="23" customWidth="1"/>
    <col min="2" max="2" width="18" style="23" customWidth="1"/>
    <col min="3" max="3" width="19.88671875" style="23" customWidth="1"/>
    <col min="4" max="4" width="26.88671875" style="23" customWidth="1"/>
    <col min="5" max="5" width="10.88671875" style="23" customWidth="1"/>
    <col min="6" max="6" width="16.88671875" style="23" customWidth="1"/>
    <col min="7" max="7" width="24.88671875" style="23" customWidth="1"/>
    <col min="8" max="9" width="22.88671875" style="23" customWidth="1"/>
    <col min="10" max="10" width="14.109375" style="23" customWidth="1"/>
    <col min="11" max="11" width="14.44140625" style="23" customWidth="1"/>
    <col min="12" max="12" width="42.109375" style="23" customWidth="1"/>
    <col min="13" max="13" width="29.5546875" style="23" customWidth="1"/>
    <col min="14" max="17" width="19.88671875" style="23" customWidth="1"/>
    <col min="18" max="16384" width="8.6640625" style="23"/>
  </cols>
  <sheetData>
    <row r="1" spans="1:17" ht="17.399999999999999" x14ac:dyDescent="0.3">
      <c r="A1" s="592" t="s">
        <v>7</v>
      </c>
      <c r="B1" s="593"/>
      <c r="C1" s="593"/>
      <c r="D1" s="593"/>
      <c r="E1" s="593"/>
      <c r="F1" s="593"/>
      <c r="G1" s="593"/>
      <c r="H1" s="593"/>
      <c r="I1" s="593"/>
      <c r="J1" s="593"/>
      <c r="K1" s="593"/>
      <c r="L1" s="593"/>
      <c r="M1" s="593"/>
      <c r="N1" s="593"/>
      <c r="O1" s="593"/>
      <c r="P1" s="516"/>
      <c r="Q1" s="516"/>
    </row>
    <row r="2" spans="1:17" ht="17.399999999999999" x14ac:dyDescent="0.3">
      <c r="A2" s="592">
        <v>2020</v>
      </c>
      <c r="B2" s="592"/>
      <c r="C2" s="592"/>
      <c r="D2" s="592"/>
      <c r="E2" s="592"/>
      <c r="F2" s="592"/>
      <c r="G2" s="592"/>
      <c r="H2" s="592"/>
      <c r="I2" s="592"/>
      <c r="J2" s="592"/>
      <c r="K2" s="592"/>
      <c r="L2" s="592"/>
      <c r="M2" s="592"/>
      <c r="N2" s="592"/>
      <c r="O2" s="592"/>
      <c r="P2" s="515"/>
      <c r="Q2" s="515"/>
    </row>
    <row r="3" spans="1:17" ht="15.6" x14ac:dyDescent="0.25">
      <c r="A3" s="594" t="s">
        <v>1393</v>
      </c>
      <c r="B3" s="594"/>
      <c r="C3" s="594"/>
      <c r="D3" s="594"/>
      <c r="E3" s="594"/>
      <c r="F3" s="594"/>
      <c r="G3" s="594"/>
      <c r="H3" s="594"/>
      <c r="I3" s="594"/>
      <c r="J3" s="594"/>
      <c r="K3" s="594"/>
      <c r="L3" s="594"/>
      <c r="M3" s="594"/>
      <c r="N3" s="594"/>
      <c r="O3" s="594"/>
      <c r="P3" s="517"/>
      <c r="Q3" s="517"/>
    </row>
    <row r="4" spans="1:17" ht="18" customHeight="1" x14ac:dyDescent="0.25"/>
    <row r="5" spans="1:17" ht="26.1" hidden="1" customHeight="1" x14ac:dyDescent="0.25">
      <c r="A5" s="6" t="s">
        <v>5</v>
      </c>
      <c r="B5" s="6" t="s">
        <v>8</v>
      </c>
      <c r="C5" s="6" t="s">
        <v>8</v>
      </c>
      <c r="D5" s="6" t="s">
        <v>8</v>
      </c>
      <c r="E5" s="6" t="s">
        <v>8</v>
      </c>
      <c r="F5" s="6" t="s">
        <v>8</v>
      </c>
      <c r="G5" s="6" t="s">
        <v>8</v>
      </c>
      <c r="H5" s="6" t="s">
        <v>8</v>
      </c>
      <c r="I5" s="6" t="s">
        <v>8</v>
      </c>
      <c r="J5" s="6" t="s">
        <v>9</v>
      </c>
      <c r="K5" s="6" t="s">
        <v>9</v>
      </c>
      <c r="L5" s="6" t="s">
        <v>8</v>
      </c>
      <c r="M5" s="6" t="s">
        <v>8</v>
      </c>
      <c r="N5" s="6" t="s">
        <v>8</v>
      </c>
      <c r="O5" s="6" t="s">
        <v>8</v>
      </c>
      <c r="P5" s="6"/>
      <c r="Q5" s="6"/>
    </row>
    <row r="6" spans="1:17" ht="36.9" hidden="1" customHeight="1" x14ac:dyDescent="0.25">
      <c r="A6" s="7" t="s">
        <v>10</v>
      </c>
      <c r="B6" s="8" t="s">
        <v>11</v>
      </c>
      <c r="C6" s="9" t="s">
        <v>12</v>
      </c>
      <c r="D6" s="9" t="s">
        <v>13</v>
      </c>
      <c r="E6" s="9" t="s">
        <v>14</v>
      </c>
      <c r="F6" s="9" t="s">
        <v>15</v>
      </c>
      <c r="G6" s="10" t="s">
        <v>16</v>
      </c>
      <c r="H6" s="11" t="s">
        <v>17</v>
      </c>
      <c r="I6" s="11" t="s">
        <v>18</v>
      </c>
      <c r="J6" s="11" t="s">
        <v>19</v>
      </c>
      <c r="K6" s="11" t="s">
        <v>20</v>
      </c>
      <c r="L6" s="11" t="s">
        <v>21</v>
      </c>
      <c r="M6" s="11" t="s">
        <v>22</v>
      </c>
      <c r="N6" s="11" t="s">
        <v>23</v>
      </c>
      <c r="O6" s="11" t="s">
        <v>24</v>
      </c>
      <c r="P6" s="9"/>
      <c r="Q6" s="9"/>
    </row>
    <row r="7" spans="1:17" ht="13.35" customHeight="1" x14ac:dyDescent="0.25">
      <c r="A7" s="157"/>
      <c r="B7" s="595" t="s">
        <v>25</v>
      </c>
      <c r="C7" s="597" t="s">
        <v>26</v>
      </c>
      <c r="D7" s="597" t="s">
        <v>1263</v>
      </c>
      <c r="E7" s="597" t="s">
        <v>27</v>
      </c>
      <c r="F7" s="599" t="s">
        <v>28</v>
      </c>
      <c r="G7" s="601" t="s">
        <v>29</v>
      </c>
      <c r="H7" s="602"/>
      <c r="I7" s="602"/>
      <c r="J7" s="602"/>
      <c r="K7" s="602"/>
      <c r="L7" s="602"/>
      <c r="M7" s="595" t="s">
        <v>1004</v>
      </c>
      <c r="N7" s="597"/>
      <c r="O7" s="599"/>
      <c r="P7" s="520"/>
      <c r="Q7" s="520"/>
    </row>
    <row r="8" spans="1:17" ht="30" customHeight="1" x14ac:dyDescent="0.25">
      <c r="A8" s="34"/>
      <c r="B8" s="596"/>
      <c r="C8" s="598"/>
      <c r="D8" s="598"/>
      <c r="E8" s="598"/>
      <c r="F8" s="600"/>
      <c r="G8" s="595" t="s">
        <v>30</v>
      </c>
      <c r="H8" s="599" t="s">
        <v>31</v>
      </c>
      <c r="I8" s="599" t="s">
        <v>709</v>
      </c>
      <c r="J8" s="522" t="s">
        <v>32</v>
      </c>
      <c r="K8" s="12" t="s">
        <v>33</v>
      </c>
      <c r="L8" s="595" t="s">
        <v>34</v>
      </c>
      <c r="M8" s="596"/>
      <c r="N8" s="598"/>
      <c r="O8" s="600"/>
      <c r="P8" s="520"/>
      <c r="Q8" s="520"/>
    </row>
    <row r="9" spans="1:17" x14ac:dyDescent="0.25">
      <c r="A9" s="34"/>
      <c r="B9" s="596"/>
      <c r="C9" s="598"/>
      <c r="D9" s="598"/>
      <c r="E9" s="598"/>
      <c r="F9" s="600"/>
      <c r="G9" s="596"/>
      <c r="H9" s="600"/>
      <c r="I9" s="600"/>
      <c r="J9" s="521" t="s">
        <v>35</v>
      </c>
      <c r="K9" s="521" t="s">
        <v>35</v>
      </c>
      <c r="L9" s="596"/>
      <c r="M9" s="195" t="s">
        <v>598</v>
      </c>
      <c r="N9" s="521" t="s">
        <v>37</v>
      </c>
      <c r="O9" s="195" t="s">
        <v>38</v>
      </c>
      <c r="P9" s="520"/>
      <c r="Q9" s="520"/>
    </row>
    <row r="10" spans="1:17" x14ac:dyDescent="0.25">
      <c r="A10" s="64"/>
      <c r="B10" s="542" t="s">
        <v>39</v>
      </c>
      <c r="C10" s="543" t="s">
        <v>40</v>
      </c>
      <c r="D10" s="543" t="s">
        <v>41</v>
      </c>
      <c r="E10" s="543" t="s">
        <v>42</v>
      </c>
      <c r="F10" s="544" t="s">
        <v>43</v>
      </c>
      <c r="G10" s="542" t="s">
        <v>44</v>
      </c>
      <c r="H10" s="544" t="s">
        <v>45</v>
      </c>
      <c r="I10" s="544" t="s">
        <v>46</v>
      </c>
      <c r="J10" s="544" t="s">
        <v>47</v>
      </c>
      <c r="K10" s="14" t="s">
        <v>48</v>
      </c>
      <c r="L10" s="542" t="s">
        <v>49</v>
      </c>
      <c r="M10" s="14" t="s">
        <v>50</v>
      </c>
      <c r="N10" s="14" t="s">
        <v>51</v>
      </c>
      <c r="O10" s="14" t="s">
        <v>52</v>
      </c>
      <c r="P10" s="520"/>
      <c r="Q10" s="520"/>
    </row>
    <row r="11" spans="1:17" x14ac:dyDescent="0.25">
      <c r="A11" s="254" t="s">
        <v>53</v>
      </c>
      <c r="B11" s="15"/>
      <c r="C11" s="16"/>
      <c r="D11" s="16"/>
      <c r="E11" s="16"/>
      <c r="F11" s="17"/>
      <c r="G11" s="15"/>
      <c r="H11" s="17"/>
      <c r="I11" s="17"/>
      <c r="J11" s="16"/>
      <c r="K11" s="16"/>
      <c r="L11" s="15"/>
      <c r="M11" s="15"/>
      <c r="N11" s="16"/>
      <c r="O11" s="17"/>
      <c r="P11" s="46"/>
      <c r="Q11" s="46"/>
    </row>
    <row r="12" spans="1:17" x14ac:dyDescent="0.25">
      <c r="A12" s="65" t="s">
        <v>309</v>
      </c>
      <c r="B12" s="226" t="s">
        <v>1275</v>
      </c>
      <c r="C12" s="188"/>
      <c r="D12" s="188"/>
      <c r="E12" s="188"/>
      <c r="F12" s="189"/>
      <c r="G12" s="525"/>
      <c r="H12" s="526"/>
      <c r="I12" s="189"/>
      <c r="J12" s="227"/>
      <c r="K12" s="201"/>
      <c r="L12" s="200"/>
      <c r="M12" s="228"/>
      <c r="N12" s="41"/>
      <c r="O12" s="42"/>
      <c r="P12" s="43"/>
      <c r="Q12" s="43"/>
    </row>
    <row r="13" spans="1:17" ht="79.8" x14ac:dyDescent="0.25">
      <c r="A13" s="65" t="s">
        <v>54</v>
      </c>
      <c r="B13" s="226" t="s">
        <v>92</v>
      </c>
      <c r="C13" s="188" t="str">
        <f>"C above EUR 460.66 per month ("&amp;TEXT(100*460.66*12/'Average wages'!B5,0)&amp;"% of AW; Geringfügigkeitsgrenze 2020)"</f>
        <v>C above EUR 460.66 per month (11% of AW; Geringfügigkeitsgrenze 2020)</v>
      </c>
      <c r="D13" s="188" t="s">
        <v>93</v>
      </c>
      <c r="E13" s="188">
        <v>0</v>
      </c>
      <c r="F13" s="189">
        <v>9</v>
      </c>
      <c r="G13" s="582">
        <v>0.55000000000000004</v>
      </c>
      <c r="H13" s="583"/>
      <c r="I13" s="189" t="s">
        <v>94</v>
      </c>
      <c r="J13" s="227" t="s">
        <v>103</v>
      </c>
      <c r="K13" s="201">
        <f>57.58*30*12/'Average wages'!B5</f>
        <v>0.42600920633705647</v>
      </c>
      <c r="L13" s="200" t="str">
        <f>"No reduction for earnings up to EUR 460.66 ("&amp;TEXT(100*460.66*12/'Average wages'!B5,0)&amp;"% of AW; Geringfügigkeitsgrenze 2020), with higher earnings total benefit withdrawal. An into-work benefit - Kombilohnbeihilfe - exists, see employment related provisions."</f>
        <v>No reduction for earnings up to EUR 460.66 (11% of AW; Geringfügigkeitsgrenze 2020), with higher earnings total benefit withdrawal. An into-work benefit - Kombilohnbeihilfe - exists, see employment related provisions.</v>
      </c>
      <c r="M13" s="228" t="s">
        <v>1151</v>
      </c>
      <c r="N13" s="41" t="s">
        <v>766</v>
      </c>
      <c r="O13" s="42" t="s">
        <v>1152</v>
      </c>
      <c r="P13" s="43"/>
      <c r="Q13" s="43"/>
    </row>
    <row r="14" spans="1:17" ht="136.80000000000001" x14ac:dyDescent="0.25">
      <c r="A14" s="65" t="s">
        <v>55</v>
      </c>
      <c r="B14" s="226" t="s">
        <v>96</v>
      </c>
      <c r="C14" s="188" t="s">
        <v>97</v>
      </c>
      <c r="D14" s="188" t="s">
        <v>947</v>
      </c>
      <c r="E14" s="188">
        <v>0</v>
      </c>
      <c r="F14" s="189" t="s">
        <v>98</v>
      </c>
      <c r="G14" s="529" t="s">
        <v>99</v>
      </c>
      <c r="H14" s="530" t="str">
        <f>"From month 49 onwards (3rd period): Flat rate of EUR 40.48/day ("&amp;TEXT(40.48*6*52/'Average wages'!B6,"0%")&amp;" of AW)"</f>
        <v>From month 49 onwards (3rd period): Flat rate of EUR 40.48/day (26% of AW)</v>
      </c>
      <c r="I14" s="189" t="s">
        <v>100</v>
      </c>
      <c r="J14" s="201">
        <f>40.48*26*12/'Average wages'!B6</f>
        <v>0.26466202729645272</v>
      </c>
      <c r="K14" s="201">
        <f>2671.37 *12/'Average wages'!B6</f>
        <v>0.67175642279086056</v>
      </c>
      <c r="L14" s="529" t="s">
        <v>997</v>
      </c>
      <c r="M14" s="228" t="s">
        <v>101</v>
      </c>
      <c r="N14" s="41" t="s">
        <v>1014</v>
      </c>
      <c r="O14" s="189" t="s">
        <v>95</v>
      </c>
      <c r="P14" s="36"/>
      <c r="Q14" s="36"/>
    </row>
    <row r="15" spans="1:17" ht="45.6" x14ac:dyDescent="0.25">
      <c r="A15" s="65" t="s">
        <v>1389</v>
      </c>
      <c r="B15" s="39" t="s">
        <v>102</v>
      </c>
      <c r="C15" s="188" t="s">
        <v>97</v>
      </c>
      <c r="D15" s="41" t="s">
        <v>948</v>
      </c>
      <c r="E15" s="41">
        <v>7</v>
      </c>
      <c r="F15" s="42" t="s">
        <v>949</v>
      </c>
      <c r="G15" s="582">
        <v>0.55000000000000004</v>
      </c>
      <c r="H15" s="583"/>
      <c r="I15" s="189" t="s">
        <v>100</v>
      </c>
      <c r="J15" s="201" t="s">
        <v>103</v>
      </c>
      <c r="K15" s="201">
        <f>562*52/'Average wages'!B7</f>
        <v>0.51009208904095915</v>
      </c>
      <c r="L15" s="200" t="s">
        <v>998</v>
      </c>
      <c r="M15" s="38" t="s">
        <v>95</v>
      </c>
      <c r="N15" s="188" t="s">
        <v>766</v>
      </c>
      <c r="O15" s="189" t="s">
        <v>95</v>
      </c>
      <c r="P15" s="36"/>
      <c r="Q15" s="36"/>
    </row>
    <row r="16" spans="1:17" ht="22.8" x14ac:dyDescent="0.25">
      <c r="A16" s="65" t="s">
        <v>56</v>
      </c>
      <c r="B16" s="39" t="s">
        <v>1447</v>
      </c>
      <c r="C16" s="188"/>
      <c r="D16" s="188"/>
      <c r="E16" s="188"/>
      <c r="F16" s="189"/>
      <c r="G16" s="200"/>
      <c r="H16" s="190"/>
      <c r="I16" s="189"/>
      <c r="J16" s="201"/>
      <c r="K16" s="201"/>
      <c r="L16" s="200"/>
      <c r="M16" s="38"/>
      <c r="N16" s="188"/>
      <c r="O16" s="42"/>
      <c r="P16" s="43"/>
      <c r="Q16" s="43"/>
    </row>
    <row r="17" spans="1:17" ht="34.200000000000003" x14ac:dyDescent="0.25">
      <c r="A17" s="65" t="s">
        <v>57</v>
      </c>
      <c r="B17" s="39" t="s">
        <v>140</v>
      </c>
      <c r="C17" s="188" t="s">
        <v>97</v>
      </c>
      <c r="D17" s="188" t="s">
        <v>105</v>
      </c>
      <c r="E17" s="188">
        <v>0</v>
      </c>
      <c r="F17" s="189">
        <v>5</v>
      </c>
      <c r="G17" s="529" t="s">
        <v>106</v>
      </c>
      <c r="H17" s="530" t="s">
        <v>107</v>
      </c>
      <c r="I17" s="189" t="s">
        <v>94</v>
      </c>
      <c r="J17" s="201" t="s">
        <v>103</v>
      </c>
      <c r="K17" s="229">
        <f>19389*12/'Average wages'!B9</f>
        <v>0.57840029255964964</v>
      </c>
      <c r="L17" s="529" t="s">
        <v>1035</v>
      </c>
      <c r="M17" s="38" t="s">
        <v>913</v>
      </c>
      <c r="N17" s="188" t="s">
        <v>95</v>
      </c>
      <c r="O17" s="189" t="s">
        <v>95</v>
      </c>
      <c r="P17" s="36"/>
      <c r="Q17" s="36"/>
    </row>
    <row r="18" spans="1:17" ht="114" x14ac:dyDescent="0.25">
      <c r="A18" s="65" t="s">
        <v>58</v>
      </c>
      <c r="B18" s="39" t="s">
        <v>695</v>
      </c>
      <c r="C18" s="188" t="s">
        <v>108</v>
      </c>
      <c r="D18" s="188" t="str">
        <f>"E: Earnings from employment of DKK 238,512 ("&amp;TEXT(100*238515/'Average wages'!B10,0)&amp;"% of AW) within the last three years and minimum of 12 months of employment
C: Payment of membership fee"</f>
        <v>E: Earnings from employment of DKK 238,512 (55% of AW) within the last three years and minimum of 12 months of employment
C: Payment of membership fee</v>
      </c>
      <c r="E18" s="188">
        <v>0</v>
      </c>
      <c r="F18" s="189" t="s">
        <v>696</v>
      </c>
      <c r="G18" s="582">
        <v>0.9</v>
      </c>
      <c r="H18" s="583"/>
      <c r="I18" s="189" t="s">
        <v>109</v>
      </c>
      <c r="J18" s="201" t="s">
        <v>103</v>
      </c>
      <c r="K18" s="201">
        <f xml:space="preserve"> 228996/'Average wages'!B10</f>
        <v>0.52390575829246033</v>
      </c>
      <c r="L18" s="529" t="s">
        <v>999</v>
      </c>
      <c r="M18" s="38" t="s">
        <v>1013</v>
      </c>
      <c r="N18" s="188" t="s">
        <v>95</v>
      </c>
      <c r="O18" s="189" t="s">
        <v>95</v>
      </c>
      <c r="P18" s="36"/>
      <c r="Q18" s="36"/>
    </row>
    <row r="19" spans="1:17" ht="34.200000000000003" x14ac:dyDescent="0.25">
      <c r="A19" s="65" t="s">
        <v>59</v>
      </c>
      <c r="B19" s="226" t="s">
        <v>110</v>
      </c>
      <c r="C19" s="188" t="s">
        <v>97</v>
      </c>
      <c r="D19" s="188" t="s">
        <v>1237</v>
      </c>
      <c r="E19" s="188">
        <v>7</v>
      </c>
      <c r="F19" s="189">
        <v>12</v>
      </c>
      <c r="G19" s="529" t="s">
        <v>111</v>
      </c>
      <c r="H19" s="530" t="s">
        <v>112</v>
      </c>
      <c r="I19" s="189" t="s">
        <v>1238</v>
      </c>
      <c r="J19" s="201">
        <f xml:space="preserve"> 540*12/(12*30)*0.5*365/'Average wages'!B11</f>
        <v>0.19745466276244014</v>
      </c>
      <c r="K19" s="201">
        <f xml:space="preserve"> 35.62*3*365*0.5/'Average wages'!B11</f>
        <v>1.1722225145996861</v>
      </c>
      <c r="L19" s="529" t="s">
        <v>113</v>
      </c>
      <c r="M19" s="38" t="s">
        <v>1239</v>
      </c>
      <c r="N19" s="188" t="s">
        <v>95</v>
      </c>
      <c r="O19" s="189" t="s">
        <v>95</v>
      </c>
      <c r="P19" s="36"/>
      <c r="Q19" s="36"/>
    </row>
    <row r="20" spans="1:17" ht="68.400000000000006" x14ac:dyDescent="0.25">
      <c r="A20" s="255" t="s">
        <v>60</v>
      </c>
      <c r="B20" s="230" t="s">
        <v>655</v>
      </c>
      <c r="C20" s="231" t="s">
        <v>141</v>
      </c>
      <c r="D20" s="44" t="str">
        <f>"E + C: 26 weeks in last 28 months
H: 18 hours/week
W: EUR 1236 per month ("&amp;TEXT(1236*12/'Average wages'!B12,"0%")&amp;" of AW)  or according to collective agreement"</f>
        <v>E + C: 26 weeks in last 28 months
H: 18 hours/week
W: EUR 1236 per month (32% of AW)  or according to collective agreement</v>
      </c>
      <c r="E20" s="231">
        <v>5</v>
      </c>
      <c r="F20" s="232">
        <f>(400/5/52)*12</f>
        <v>18.461538461538463</v>
      </c>
      <c r="G20" s="590" t="str">
        <f>"Basic flat-rate benefit: EUR 33.66 per day ("&amp;TEXT(33.66*21.5*12/'Average wages'!B12,"0%")&amp;" of AW)
Earnings-related benefit: 45% of daily reference earnings above basic benefit and up to EUR 148.73 per day ("&amp;TEXT(33.66*95*12/'Average wages'!B12,"0%")&amp;" % of AW), plus 20% of daily reference earnings in excess of this amount"</f>
        <v>Basic flat-rate benefit: EUR 33.66 per day (19% of AW)
Earnings-related benefit: 45% of daily reference earnings above basic benefit and up to EUR 148.73 per day (84% % of AW), plus 20% of daily reference earnings in excess of this amount</v>
      </c>
      <c r="H20" s="591"/>
      <c r="I20" s="232" t="s">
        <v>1240</v>
      </c>
      <c r="J20" s="233">
        <f>33.66*21.5*12/'Average wages'!B12</f>
        <v>0.18994991370474598</v>
      </c>
      <c r="K20" s="190" t="s">
        <v>103</v>
      </c>
      <c r="L20" s="527" t="str">
        <f xml:space="preserve"> "For part-time work (&lt; 80% of full-time): benefit reduced by 50% of gross earnings exceeding EUR 300 per month ("&amp;TEXT(300*12/'Average wages'!B12,"0%")&amp;" of AW); total income (benefit + earnings) cannot exceed 100% of reference earnings. Full-time work not permitted."</f>
        <v>For part-time work (&lt; 80% of full-time): benefit reduced by 50% of gross earnings exceeding EUR 300 per month (8% of AW); total income (benefit + earnings) cannot exceed 100% of reference earnings. Full-time work not permitted.</v>
      </c>
      <c r="M20" s="234" t="s">
        <v>1241</v>
      </c>
      <c r="N20" s="231" t="s">
        <v>1242</v>
      </c>
      <c r="O20" s="232" t="s">
        <v>772</v>
      </c>
      <c r="P20" s="36"/>
      <c r="Q20" s="36"/>
    </row>
    <row r="21" spans="1:17" ht="34.200000000000003" x14ac:dyDescent="0.25">
      <c r="A21" s="65" t="s">
        <v>61</v>
      </c>
      <c r="B21" s="235" t="s">
        <v>158</v>
      </c>
      <c r="C21" s="36" t="s">
        <v>97</v>
      </c>
      <c r="D21" s="36" t="s">
        <v>956</v>
      </c>
      <c r="E21" s="36">
        <v>7</v>
      </c>
      <c r="F21" s="191">
        <v>24</v>
      </c>
      <c r="G21" s="582" t="s">
        <v>114</v>
      </c>
      <c r="H21" s="583"/>
      <c r="I21" s="191" t="s">
        <v>100</v>
      </c>
      <c r="J21" s="19">
        <f>29.26*365/'Average wages'!B13</f>
        <v>0.27966682739438414</v>
      </c>
      <c r="K21" s="19">
        <f>0.57*13508*12/'Average wages'!B13</f>
        <v>2.4194737975442138</v>
      </c>
      <c r="L21" s="236" t="s">
        <v>1000</v>
      </c>
      <c r="M21" s="35" t="s">
        <v>1012</v>
      </c>
      <c r="N21" s="36" t="s">
        <v>95</v>
      </c>
      <c r="O21" s="191" t="s">
        <v>95</v>
      </c>
      <c r="P21" s="36"/>
      <c r="Q21" s="36"/>
    </row>
    <row r="22" spans="1:17" ht="68.400000000000006" x14ac:dyDescent="0.25">
      <c r="A22" s="65" t="s">
        <v>62</v>
      </c>
      <c r="B22" s="228" t="s">
        <v>159</v>
      </c>
      <c r="C22" s="188" t="s">
        <v>97</v>
      </c>
      <c r="D22" s="188" t="str">
        <f>"E: 12 months
C: 12 months in last 2 years (Marginally employed - &lt;EUR450/month, &lt;"&amp;TEXT(450*12/'Average wages'!B14,"0%")&amp;" of AW - are contribution and insurance free)"</f>
        <v>E: 12 months
C: 12 months in last 2 years (Marginally employed - &lt;EUR450/month, &lt;10% of AW - are contribution and insurance free)</v>
      </c>
      <c r="E22" s="188">
        <v>0</v>
      </c>
      <c r="F22" s="189">
        <v>12</v>
      </c>
      <c r="G22" s="582">
        <v>0.6</v>
      </c>
      <c r="H22" s="583"/>
      <c r="I22" s="189" t="s">
        <v>94</v>
      </c>
      <c r="J22" s="201" t="s">
        <v>103</v>
      </c>
      <c r="K22" s="201">
        <f>0.6*6900*12/'Average wages'!B14</f>
        <v>0.95348067525582803</v>
      </c>
      <c r="L22" s="529" t="str">
        <f>"Work income from up to15 hours per week disregarded up to EUR165 net income/month ("&amp;TEXT(100*165*12/'Average wages'!B14,0)&amp;"% of AW), 100% withdrawal rate above this level, total loss of benefit if working 15 hours or more per week"</f>
        <v>Work income from up to15 hours per week disregarded up to EUR165 net income/month (4% of AW), 100% withdrawal rate above this level, total loss of benefit if working 15 hours or more per week</v>
      </c>
      <c r="M22" s="38" t="s">
        <v>1165</v>
      </c>
      <c r="N22" s="188" t="s">
        <v>767</v>
      </c>
      <c r="O22" s="189" t="s">
        <v>95</v>
      </c>
      <c r="P22" s="36"/>
      <c r="Q22" s="36"/>
    </row>
    <row r="23" spans="1:17" s="237" customFormat="1" ht="45.6" x14ac:dyDescent="0.25">
      <c r="A23" s="65" t="s">
        <v>63</v>
      </c>
      <c r="B23" s="226" t="s">
        <v>1243</v>
      </c>
      <c r="C23" s="231" t="s">
        <v>97</v>
      </c>
      <c r="D23" s="231" t="s">
        <v>115</v>
      </c>
      <c r="E23" s="231">
        <v>6</v>
      </c>
      <c r="F23" s="232">
        <v>12</v>
      </c>
      <c r="G23" s="584" t="str">
        <f>"Flat rate of EUR 399.25 per month ("&amp;TEXT(399.25*12/'Average wages'!B15,"0%")&amp;" of AW) for prior full-time employed (lower for part-time with low income)"</f>
        <v>Flat rate of EUR 399.25 per month (23% of AW) for prior full-time employed (lower for part-time with low income)</v>
      </c>
      <c r="H23" s="585"/>
      <c r="I23" s="232" t="s">
        <v>95</v>
      </c>
      <c r="J23" s="233" t="str">
        <f>"Flat rate of "&amp;TEXT(399.25*12/'Average wages'!B15,"0%")</f>
        <v>Flat rate of 23%</v>
      </c>
      <c r="K23" s="233" t="str">
        <f>"Flat rate of "&amp;TEXT(399.25*12/'Average wages'!B15,"0%")</f>
        <v>Flat rate of 23%</v>
      </c>
      <c r="L23" s="529" t="s">
        <v>113</v>
      </c>
      <c r="M23" s="38" t="s">
        <v>763</v>
      </c>
      <c r="N23" s="188" t="s">
        <v>1244</v>
      </c>
      <c r="O23" s="189" t="s">
        <v>95</v>
      </c>
      <c r="P23" s="231"/>
      <c r="Q23" s="231"/>
    </row>
    <row r="24" spans="1:17" ht="22.8" x14ac:dyDescent="0.25">
      <c r="A24" s="65" t="s">
        <v>64</v>
      </c>
      <c r="B24" s="38" t="s">
        <v>116</v>
      </c>
      <c r="C24" s="188" t="s">
        <v>97</v>
      </c>
      <c r="D24" s="188" t="s">
        <v>117</v>
      </c>
      <c r="E24" s="188">
        <v>0</v>
      </c>
      <c r="F24" s="189">
        <v>3</v>
      </c>
      <c r="G24" s="582">
        <v>0.6</v>
      </c>
      <c r="H24" s="583"/>
      <c r="I24" s="529" t="s">
        <v>100</v>
      </c>
      <c r="J24" s="200" t="s">
        <v>103</v>
      </c>
      <c r="K24" s="229">
        <f>161000*12/'Average wages'!B16</f>
        <v>0.38550641420869641</v>
      </c>
      <c r="L24" s="529" t="s">
        <v>1036</v>
      </c>
      <c r="M24" s="38" t="s">
        <v>95</v>
      </c>
      <c r="N24" s="188" t="s">
        <v>95</v>
      </c>
      <c r="O24" s="189" t="s">
        <v>95</v>
      </c>
      <c r="P24" s="36"/>
      <c r="Q24" s="36"/>
    </row>
    <row r="25" spans="1:17" ht="57" x14ac:dyDescent="0.25">
      <c r="A25" s="65" t="s">
        <v>65</v>
      </c>
      <c r="B25" s="238" t="s">
        <v>118</v>
      </c>
      <c r="C25" s="36" t="s">
        <v>97</v>
      </c>
      <c r="D25" s="36" t="s">
        <v>1245</v>
      </c>
      <c r="E25" s="36">
        <v>0</v>
      </c>
      <c r="F25" s="191">
        <v>30</v>
      </c>
      <c r="G25" s="236" t="str">
        <f>"Until day 10: Full flat-rate benefit of ISK 289510 per month ("&amp;TEXT(289510*12/'Average wages'!B17,"0%")&amp;" of AW), From day 11 until month 3: 70% of reference earnings"</f>
        <v>Until day 10: Full flat-rate benefit of ISK 289510 per month (38% of AW), From day 11 until month 3: 70% of reference earnings</v>
      </c>
      <c r="H25" s="239" t="str">
        <f>"From month 4: Full flat-rate benefit of ISK 289510 per month ("&amp;TEXT(289510*12/'Average wages'!B17,"0%")&amp;" of AW)"</f>
        <v>From month 4: Full flat-rate benefit of ISK 289510 per month (38% of AW)</v>
      </c>
      <c r="I25" s="191" t="s">
        <v>100</v>
      </c>
      <c r="J25" s="19" t="str">
        <f>TEXT(289510*12/'Average wages'!B17,"0%")&amp;" (full benefit)"</f>
        <v>38% (full benefit)</v>
      </c>
      <c r="K25" s="19">
        <f>456404*12/'Average wages'!B17</f>
        <v>0.59227727356227911</v>
      </c>
      <c r="L25" s="236" t="s">
        <v>142</v>
      </c>
      <c r="M25" s="35" t="s">
        <v>1246</v>
      </c>
      <c r="N25" s="36" t="s">
        <v>1247</v>
      </c>
      <c r="O25" s="191" t="s">
        <v>95</v>
      </c>
      <c r="P25" s="36"/>
      <c r="Q25" s="36"/>
    </row>
    <row r="26" spans="1:17" ht="79.8" x14ac:dyDescent="0.25">
      <c r="A26" s="65" t="s">
        <v>66</v>
      </c>
      <c r="B26" s="228" t="s">
        <v>119</v>
      </c>
      <c r="C26" s="188" t="s">
        <v>97</v>
      </c>
      <c r="D26" s="188" t="s">
        <v>120</v>
      </c>
      <c r="E26" s="188">
        <v>3</v>
      </c>
      <c r="F26" s="189">
        <v>9</v>
      </c>
      <c r="G26" s="584" t="str">
        <f>"Flat rate depending on average weekly earnings in relevant tax year, for highest income group flat rate of "&amp;TEXT(203*52*100/'Average wages'!B18,0)&amp;"% of AW."</f>
        <v>Flat rate depending on average weekly earnings in relevant tax year, for highest income group flat rate of 23% of AW.</v>
      </c>
      <c r="H26" s="585"/>
      <c r="I26" s="189" t="s">
        <v>95</v>
      </c>
      <c r="J26" s="201">
        <f>91.1*52/'Average wages'!B18</f>
        <v>0.10147143885362854</v>
      </c>
      <c r="K26" s="201">
        <f>203*52/'Average wages'!B18</f>
        <v>0.22611089009096152</v>
      </c>
      <c r="L26" s="529" t="s">
        <v>661</v>
      </c>
      <c r="M26" s="38" t="s">
        <v>95</v>
      </c>
      <c r="N26" s="188" t="s">
        <v>768</v>
      </c>
      <c r="O26" s="189" t="s">
        <v>95</v>
      </c>
      <c r="P26" s="36"/>
      <c r="Q26" s="36"/>
    </row>
    <row r="27" spans="1:17" ht="34.200000000000003" x14ac:dyDescent="0.25">
      <c r="A27" s="65" t="s">
        <v>67</v>
      </c>
      <c r="B27" s="235" t="s">
        <v>121</v>
      </c>
      <c r="C27" s="36" t="s">
        <v>97</v>
      </c>
      <c r="D27" s="36" t="s">
        <v>122</v>
      </c>
      <c r="E27" s="36">
        <v>5</v>
      </c>
      <c r="F27" s="191" t="s">
        <v>950</v>
      </c>
      <c r="G27" s="582" t="s">
        <v>951</v>
      </c>
      <c r="H27" s="583"/>
      <c r="I27" s="191" t="s">
        <v>100</v>
      </c>
      <c r="J27" s="19" t="s">
        <v>103</v>
      </c>
      <c r="K27" s="19" t="str">
        <f>""&amp;TEXT(100*422.04*25*12/'Average wages'!B19,0)&amp;"% (based on 25 working days per month)"</f>
        <v>81% (based on 25 working days per month)</v>
      </c>
      <c r="L27" s="236" t="s">
        <v>1001</v>
      </c>
      <c r="M27" s="35" t="s">
        <v>1007</v>
      </c>
      <c r="N27" s="36" t="s">
        <v>1008</v>
      </c>
      <c r="O27" s="191" t="s">
        <v>95</v>
      </c>
      <c r="P27" s="36"/>
      <c r="Q27" s="36"/>
    </row>
    <row r="28" spans="1:17" ht="114" x14ac:dyDescent="0.25">
      <c r="A28" s="65" t="s">
        <v>68</v>
      </c>
      <c r="B28" s="39" t="s">
        <v>739</v>
      </c>
      <c r="C28" s="188" t="s">
        <v>97</v>
      </c>
      <c r="D28" s="188" t="s">
        <v>738</v>
      </c>
      <c r="E28" s="188">
        <v>8</v>
      </c>
      <c r="F28" s="189">
        <v>24</v>
      </c>
      <c r="G28" s="200" t="str">
        <f>"Until month 3: 75% for earnings below EUR 1221 /month ("&amp;TEXT(1221*12/'Average wages'!B20,"0%")&amp;" of AW), plus 25% of the earnings above this threshold"</f>
        <v>Until month 3: 75% for earnings below EUR 1221 /month (48% of AW), plus 25% of the earnings above this threshold</v>
      </c>
      <c r="H28" s="190" t="s">
        <v>752</v>
      </c>
      <c r="I28" s="189" t="s">
        <v>100</v>
      </c>
      <c r="J28" s="201" t="s">
        <v>103</v>
      </c>
      <c r="K28" s="229">
        <f>1335*12/'Average wages'!B20</f>
        <v>0.52988557364101196</v>
      </c>
      <c r="L28" s="200" t="s">
        <v>1037</v>
      </c>
      <c r="M28" s="38" t="s">
        <v>95</v>
      </c>
      <c r="N28" s="188" t="s">
        <v>95</v>
      </c>
      <c r="O28" s="189" t="s">
        <v>95</v>
      </c>
      <c r="P28" s="36"/>
      <c r="Q28" s="36"/>
    </row>
    <row r="29" spans="1:17" ht="159.6" x14ac:dyDescent="0.25">
      <c r="A29" s="65" t="s">
        <v>69</v>
      </c>
      <c r="B29" s="238" t="s">
        <v>143</v>
      </c>
      <c r="C29" s="36" t="s">
        <v>97</v>
      </c>
      <c r="D29" s="36" t="s">
        <v>1038</v>
      </c>
      <c r="E29" s="36">
        <v>7</v>
      </c>
      <c r="F29" s="191" t="s">
        <v>1039</v>
      </c>
      <c r="G29" s="582" t="s">
        <v>753</v>
      </c>
      <c r="H29" s="583"/>
      <c r="I29" s="191" t="s">
        <v>1040</v>
      </c>
      <c r="J29" s="19">
        <f>0.8*365*2500/'Average wages'!B21</f>
        <v>0.14078583105899939</v>
      </c>
      <c r="K29" s="240">
        <f>0.5*15140*365/'Average wages'!B21</f>
        <v>0.53287437055831266</v>
      </c>
      <c r="L29" s="236" t="s">
        <v>1041</v>
      </c>
      <c r="M29" s="35" t="s">
        <v>764</v>
      </c>
      <c r="N29" s="36" t="s">
        <v>95</v>
      </c>
      <c r="O29" s="191" t="s">
        <v>773</v>
      </c>
      <c r="P29" s="36"/>
      <c r="Q29" s="36"/>
    </row>
    <row r="30" spans="1:17" ht="38.4" customHeight="1" x14ac:dyDescent="0.25">
      <c r="A30" s="65" t="s">
        <v>70</v>
      </c>
      <c r="B30" s="39" t="s">
        <v>1447</v>
      </c>
      <c r="C30" s="188"/>
      <c r="D30" s="188"/>
      <c r="E30" s="188"/>
      <c r="F30" s="189"/>
      <c r="G30" s="586"/>
      <c r="H30" s="587"/>
      <c r="I30" s="189"/>
      <c r="J30" s="201"/>
      <c r="K30" s="201"/>
      <c r="L30" s="200"/>
      <c r="M30" s="38"/>
      <c r="N30" s="188"/>
      <c r="O30" s="189"/>
      <c r="P30" s="36"/>
      <c r="Q30" s="36"/>
    </row>
    <row r="31" spans="1:17" ht="45.6" x14ac:dyDescent="0.25">
      <c r="A31" s="65" t="s">
        <v>85</v>
      </c>
      <c r="B31" s="39" t="s">
        <v>156</v>
      </c>
      <c r="C31" s="188" t="s">
        <v>97</v>
      </c>
      <c r="D31" s="188" t="s">
        <v>579</v>
      </c>
      <c r="E31" s="188">
        <v>0</v>
      </c>
      <c r="F31" s="189">
        <v>8</v>
      </c>
      <c r="G31" s="200" t="s">
        <v>754</v>
      </c>
      <c r="H31" s="190" t="s">
        <v>1248</v>
      </c>
      <c r="I31" s="189" t="s">
        <v>1238</v>
      </c>
      <c r="J31" s="201" t="s">
        <v>103</v>
      </c>
      <c r="K31" s="201">
        <f>62800*0.6/'Average wages'!B23</f>
        <v>2.9180680845778557</v>
      </c>
      <c r="L31" s="200" t="s">
        <v>113</v>
      </c>
      <c r="M31" s="38" t="s">
        <v>1249</v>
      </c>
      <c r="N31" s="188" t="s">
        <v>95</v>
      </c>
      <c r="O31" s="189" t="s">
        <v>95</v>
      </c>
      <c r="P31" s="36"/>
      <c r="Q31" s="36"/>
    </row>
    <row r="32" spans="1:17" ht="45.6" x14ac:dyDescent="0.25">
      <c r="A32" s="256" t="s">
        <v>86</v>
      </c>
      <c r="B32" s="226" t="s">
        <v>1250</v>
      </c>
      <c r="C32" s="188" t="s">
        <v>97</v>
      </c>
      <c r="D32" s="188" t="s">
        <v>642</v>
      </c>
      <c r="E32" s="188">
        <v>8</v>
      </c>
      <c r="F32" s="189">
        <v>9</v>
      </c>
      <c r="G32" s="529" t="str">
        <f>"Until month 3: Flat rate of EUR 141.25 per month ("&amp;TEXT(0.2327*607*12/'Average wages'!B24,"0%")&amp;" of AW) plus 38.79% of reference earnings"</f>
        <v>Until month 3: Flat rate of EUR 141.25 per month (10% of AW) plus 38.79% of reference earnings</v>
      </c>
      <c r="H32" s="530" t="str">
        <f>"From month 4: Flat rate of EUR 141.25 per month ("&amp;TEXT(0.2327*607*12/'Average wages'!B24,"0%")&amp;" of AW) plus 23.27% of reference earnings"</f>
        <v>From month 4: Flat rate of EUR 141.25 per month (10% of AW) plus 23.27% of reference earnings</v>
      </c>
      <c r="I32" s="189" t="s">
        <v>1238</v>
      </c>
      <c r="J32" s="242">
        <f>0.2327*607*12/'Average wages'!B24</f>
        <v>0.10319228702673423</v>
      </c>
      <c r="K32" s="201">
        <f>760.01*12/'Average wages'!B24</f>
        <v>0.55524092621739551</v>
      </c>
      <c r="L32" s="529" t="s">
        <v>113</v>
      </c>
      <c r="M32" s="38" t="s">
        <v>1251</v>
      </c>
      <c r="N32" s="188" t="s">
        <v>95</v>
      </c>
      <c r="O32" s="189" t="s">
        <v>95</v>
      </c>
      <c r="P32" s="36"/>
      <c r="Q32" s="36"/>
    </row>
    <row r="33" spans="1:17" ht="102.6" x14ac:dyDescent="0.25">
      <c r="A33" s="193" t="s">
        <v>71</v>
      </c>
      <c r="B33" s="40" t="s">
        <v>677</v>
      </c>
      <c r="C33" s="36" t="s">
        <v>97</v>
      </c>
      <c r="D33" s="36" t="s">
        <v>124</v>
      </c>
      <c r="E33" s="36">
        <v>0</v>
      </c>
      <c r="F33" s="191" t="s">
        <v>953</v>
      </c>
      <c r="G33" s="588">
        <v>0.8</v>
      </c>
      <c r="H33" s="589"/>
      <c r="I33" s="191" t="s">
        <v>100</v>
      </c>
      <c r="J33" s="19" t="s">
        <v>103</v>
      </c>
      <c r="K33" s="19">
        <f>(250%*25703.88)/'Average wages'!B25</f>
        <v>1.1071640050856797</v>
      </c>
      <c r="L33" s="37" t="s">
        <v>1002</v>
      </c>
      <c r="M33" s="38" t="s">
        <v>1015</v>
      </c>
      <c r="N33" s="36" t="s">
        <v>769</v>
      </c>
      <c r="O33" s="191" t="s">
        <v>95</v>
      </c>
      <c r="P33" s="36"/>
      <c r="Q33" s="36"/>
    </row>
    <row r="34" spans="1:17" ht="68.400000000000006" x14ac:dyDescent="0.25">
      <c r="A34" s="65" t="s">
        <v>72</v>
      </c>
      <c r="B34" s="226" t="s">
        <v>730</v>
      </c>
      <c r="C34" s="41" t="s">
        <v>97</v>
      </c>
      <c r="D34" s="41" t="s">
        <v>125</v>
      </c>
      <c r="E34" s="41">
        <v>0</v>
      </c>
      <c r="F34" s="42">
        <v>24</v>
      </c>
      <c r="G34" s="529" t="s">
        <v>126</v>
      </c>
      <c r="H34" s="530" t="s">
        <v>127</v>
      </c>
      <c r="I34" s="42" t="s">
        <v>100</v>
      </c>
      <c r="J34" s="227">
        <f>(70%*1653.6*1.08*12)/'Average wages'!B26</f>
        <v>0.27353526517844001</v>
      </c>
      <c r="K34" s="227">
        <f>(214.28*5*52)/'Average wages'!B26</f>
        <v>1.0158622117129374</v>
      </c>
      <c r="L34" s="529" t="s">
        <v>702</v>
      </c>
      <c r="M34" s="228" t="s">
        <v>1016</v>
      </c>
      <c r="N34" s="41" t="s">
        <v>954</v>
      </c>
      <c r="O34" s="42" t="s">
        <v>95</v>
      </c>
      <c r="P34" s="43"/>
      <c r="Q34" s="43"/>
    </row>
    <row r="35" spans="1:17" x14ac:dyDescent="0.25">
      <c r="A35" s="65" t="s">
        <v>187</v>
      </c>
      <c r="B35" s="226" t="s">
        <v>1275</v>
      </c>
      <c r="C35" s="41"/>
      <c r="D35" s="41"/>
      <c r="E35" s="41"/>
      <c r="F35" s="42"/>
      <c r="G35" s="529"/>
      <c r="H35" s="530"/>
      <c r="I35" s="42"/>
      <c r="J35" s="227"/>
      <c r="K35" s="227"/>
      <c r="L35" s="529"/>
      <c r="M35" s="228"/>
      <c r="N35" s="41"/>
      <c r="O35" s="42"/>
      <c r="P35" s="43"/>
      <c r="Q35" s="43"/>
    </row>
    <row r="36" spans="1:17" ht="68.400000000000006" x14ac:dyDescent="0.25">
      <c r="A36" s="65" t="s">
        <v>73</v>
      </c>
      <c r="B36" s="39" t="s">
        <v>708</v>
      </c>
      <c r="C36" s="188" t="s">
        <v>97</v>
      </c>
      <c r="D36" s="188" t="str">
        <f>"E + C: prior work income of  "&amp;TEXT(100*149787/'Average wages'!B28,0)&amp;"% of AW in preceding calendar year or "&amp;TEXT(100*299574/'Average wages'!B28,0)&amp;"% of AW in 3 preceding years"</f>
        <v>E + C: prior work income of  24% of AW in preceding calendar year or 48% of AW in 3 preceding years</v>
      </c>
      <c r="E36" s="188" t="s">
        <v>128</v>
      </c>
      <c r="F36" s="189">
        <v>24</v>
      </c>
      <c r="G36" s="586">
        <v>0.624</v>
      </c>
      <c r="H36" s="587"/>
      <c r="I36" s="189" t="s">
        <v>100</v>
      </c>
      <c r="J36" s="201" t="s">
        <v>103</v>
      </c>
      <c r="K36" s="201">
        <f>599148*0.624/'Average wages'!B28</f>
        <v>0.5959299694675918</v>
      </c>
      <c r="L36" s="200" t="s">
        <v>1046</v>
      </c>
      <c r="M36" s="38" t="s">
        <v>95</v>
      </c>
      <c r="N36" s="188" t="str">
        <f>CONCATENATE("G: + supplement for each child of ",LEFT(100*85*52/'Average wages'!B28,4),"% of AW.")</f>
        <v>G: + supplement for each child of 0.70% of AW.</v>
      </c>
      <c r="O36" s="189" t="s">
        <v>710</v>
      </c>
      <c r="P36" s="36"/>
      <c r="Q36" s="36"/>
    </row>
    <row r="37" spans="1:17" ht="79.8" x14ac:dyDescent="0.25">
      <c r="A37" s="65" t="s">
        <v>244</v>
      </c>
      <c r="B37" s="238" t="s">
        <v>658</v>
      </c>
      <c r="C37" s="43" t="s">
        <v>97</v>
      </c>
      <c r="D37" s="43" t="s">
        <v>1252</v>
      </c>
      <c r="E37" s="43">
        <v>7</v>
      </c>
      <c r="F37" s="244" t="s">
        <v>1253</v>
      </c>
      <c r="G37" s="236" t="str">
        <f>"Until month 3: Flat rate ot PLN 861.4 per month increased by 20% for 20+ years of contributions ("&amp;TEXT(861.4*1.2*12/'Average wages'!B29,"0%")&amp;" of AW)"</f>
        <v>Until month 3: Flat rate ot PLN 861.4 per month increased by 20% for 20+ years of contributions (20% of AW)</v>
      </c>
      <c r="H37" s="239" t="str">
        <f>"From month 4: Basic rate of PLN 676.4 per month increased by 20% for 20+ years of contributions ("&amp;TEXT(676.4*1.2*12/'Average wages'!B29,"0%")&amp;" of AW)"</f>
        <v>From month 4: Basic rate of PLN 676.4 per month increased by 20% for 20+ years of contributions (16% of AW)</v>
      </c>
      <c r="I37" s="244" t="s">
        <v>95</v>
      </c>
      <c r="J37" s="245">
        <f>676.4*1.2*12/'Average wages'!B29</f>
        <v>0.15989831657047898</v>
      </c>
      <c r="K37" s="245">
        <f>861.4*1.2*12/'Average wages'!B29</f>
        <v>0.20363159357452776</v>
      </c>
      <c r="L37" s="236" t="s">
        <v>1254</v>
      </c>
      <c r="M37" s="235" t="s">
        <v>1255</v>
      </c>
      <c r="N37" s="43" t="s">
        <v>1256</v>
      </c>
      <c r="O37" s="244" t="s">
        <v>1257</v>
      </c>
      <c r="P37" s="43"/>
      <c r="Q37" s="43"/>
    </row>
    <row r="38" spans="1:17" ht="57" x14ac:dyDescent="0.25">
      <c r="A38" s="65" t="s">
        <v>74</v>
      </c>
      <c r="B38" s="39" t="s">
        <v>144</v>
      </c>
      <c r="C38" s="188" t="s">
        <v>97</v>
      </c>
      <c r="D38" s="188" t="s">
        <v>129</v>
      </c>
      <c r="E38" s="188">
        <v>0</v>
      </c>
      <c r="F38" s="189">
        <v>24</v>
      </c>
      <c r="G38" s="200">
        <v>0.65</v>
      </c>
      <c r="H38" s="190" t="s">
        <v>95</v>
      </c>
      <c r="I38" s="189" t="s">
        <v>100</v>
      </c>
      <c r="J38" s="201" t="s">
        <v>95</v>
      </c>
      <c r="K38" s="201">
        <f>2.5*438.81*12/'Average wages'!B30</f>
        <v>0.67586323680897242</v>
      </c>
      <c r="L38" s="200" t="s">
        <v>1182</v>
      </c>
      <c r="M38" s="38" t="s">
        <v>1183</v>
      </c>
      <c r="N38" s="188" t="s">
        <v>95</v>
      </c>
      <c r="O38" s="189" t="s">
        <v>95</v>
      </c>
      <c r="P38" s="36"/>
      <c r="Q38" s="36"/>
    </row>
    <row r="39" spans="1:17" ht="34.200000000000003" x14ac:dyDescent="0.25">
      <c r="A39" s="65" t="s">
        <v>75</v>
      </c>
      <c r="B39" s="40" t="s">
        <v>1044</v>
      </c>
      <c r="C39" s="36" t="s">
        <v>97</v>
      </c>
      <c r="D39" s="36" t="s">
        <v>1045</v>
      </c>
      <c r="E39" s="36">
        <v>0</v>
      </c>
      <c r="F39" s="191">
        <v>6</v>
      </c>
      <c r="G39" s="586">
        <v>0.5</v>
      </c>
      <c r="H39" s="587"/>
      <c r="I39" s="191" t="s">
        <v>100</v>
      </c>
      <c r="J39" s="19" t="s">
        <v>103</v>
      </c>
      <c r="K39" s="19">
        <f>2026*12*0.5/'Average wages'!B31</f>
        <v>0.92088768936947873</v>
      </c>
      <c r="L39" s="37" t="s">
        <v>758</v>
      </c>
      <c r="M39" s="35" t="s">
        <v>95</v>
      </c>
      <c r="N39" s="36" t="s">
        <v>95</v>
      </c>
      <c r="O39" s="191" t="s">
        <v>95</v>
      </c>
      <c r="P39" s="36"/>
      <c r="Q39" s="36"/>
    </row>
    <row r="40" spans="1:17" ht="102.6" x14ac:dyDescent="0.25">
      <c r="A40" s="65" t="s">
        <v>76</v>
      </c>
      <c r="B40" s="39" t="s">
        <v>587</v>
      </c>
      <c r="C40" s="188" t="s">
        <v>97</v>
      </c>
      <c r="D40" s="188" t="s">
        <v>1042</v>
      </c>
      <c r="E40" s="188">
        <v>0</v>
      </c>
      <c r="F40" s="189">
        <v>9</v>
      </c>
      <c r="G40" s="200" t="s">
        <v>145</v>
      </c>
      <c r="H40" s="190" t="s">
        <v>146</v>
      </c>
      <c r="I40" s="189" t="s">
        <v>100</v>
      </c>
      <c r="J40" s="200">
        <f>350*12/'Average wages'!B32</f>
        <v>0.20563711631996034</v>
      </c>
      <c r="K40" s="190">
        <f>15140*0.5/'Average wages'!B32</f>
        <v>0.37063642155764281</v>
      </c>
      <c r="L40" s="200" t="s">
        <v>1043</v>
      </c>
      <c r="M40" s="38" t="s">
        <v>914</v>
      </c>
      <c r="N40" s="188" t="s">
        <v>95</v>
      </c>
      <c r="O40" s="189" t="s">
        <v>95</v>
      </c>
      <c r="P40" s="36"/>
      <c r="Q40" s="36"/>
    </row>
    <row r="41" spans="1:17" ht="45.6" x14ac:dyDescent="0.25">
      <c r="A41" s="65" t="s">
        <v>77</v>
      </c>
      <c r="B41" s="40" t="s">
        <v>1201</v>
      </c>
      <c r="C41" s="36" t="s">
        <v>97</v>
      </c>
      <c r="D41" s="36" t="s">
        <v>130</v>
      </c>
      <c r="E41" s="36">
        <v>0</v>
      </c>
      <c r="F41" s="191">
        <v>24</v>
      </c>
      <c r="G41" s="37" t="s">
        <v>147</v>
      </c>
      <c r="H41" s="20" t="s">
        <v>148</v>
      </c>
      <c r="I41" s="191" t="s">
        <v>100</v>
      </c>
      <c r="J41" s="19">
        <v>0.22</v>
      </c>
      <c r="K41" s="19">
        <v>0.49</v>
      </c>
      <c r="L41" s="200" t="s">
        <v>149</v>
      </c>
      <c r="M41" s="35" t="s">
        <v>761</v>
      </c>
      <c r="N41" s="36" t="s">
        <v>131</v>
      </c>
      <c r="O41" s="191" t="s">
        <v>95</v>
      </c>
      <c r="P41" s="36"/>
      <c r="Q41" s="36"/>
    </row>
    <row r="42" spans="1:17" ht="68.400000000000006" x14ac:dyDescent="0.25">
      <c r="A42" s="65" t="s">
        <v>78</v>
      </c>
      <c r="B42" s="226" t="s">
        <v>682</v>
      </c>
      <c r="C42" s="41" t="s">
        <v>108</v>
      </c>
      <c r="D42" s="41" t="s">
        <v>957</v>
      </c>
      <c r="E42" s="41">
        <v>6</v>
      </c>
      <c r="F42" s="42" t="s">
        <v>958</v>
      </c>
      <c r="G42" s="529" t="s">
        <v>683</v>
      </c>
      <c r="H42" s="530" t="s">
        <v>684</v>
      </c>
      <c r="I42" s="42" t="s">
        <v>100</v>
      </c>
      <c r="J42" s="227">
        <f>94900/'Average wages'!B34</f>
        <v>0.20375003422046747</v>
      </c>
      <c r="K42" s="227">
        <f>236600/'Average wages'!B34</f>
        <v>0.50797953737157642</v>
      </c>
      <c r="L42" s="529" t="s">
        <v>132</v>
      </c>
      <c r="M42" s="228" t="s">
        <v>1017</v>
      </c>
      <c r="N42" s="41" t="s">
        <v>1009</v>
      </c>
      <c r="O42" s="42" t="s">
        <v>1010</v>
      </c>
      <c r="P42" s="43"/>
      <c r="Q42" s="43"/>
    </row>
    <row r="43" spans="1:17" ht="91.2" x14ac:dyDescent="0.25">
      <c r="A43" s="65" t="s">
        <v>79</v>
      </c>
      <c r="B43" s="40" t="s">
        <v>741</v>
      </c>
      <c r="C43" s="36" t="s">
        <v>97</v>
      </c>
      <c r="D43" s="36" t="s">
        <v>133</v>
      </c>
      <c r="E43" s="36" t="s">
        <v>742</v>
      </c>
      <c r="F43" s="191">
        <v>18.399999999999999</v>
      </c>
      <c r="G43" s="586">
        <v>0.7</v>
      </c>
      <c r="H43" s="587"/>
      <c r="I43" s="191" t="s">
        <v>100</v>
      </c>
      <c r="J43" s="19" t="s">
        <v>103</v>
      </c>
      <c r="K43" s="19">
        <f>148200*0.7/'Average wages'!B35</f>
        <v>1.1874611377965363</v>
      </c>
      <c r="L43" s="37" t="s">
        <v>150</v>
      </c>
      <c r="M43" s="35" t="s">
        <v>1011</v>
      </c>
      <c r="N43" s="36" t="s">
        <v>770</v>
      </c>
      <c r="O43" s="191" t="str">
        <f>"G: + replacement rate 80% if low previous earnings or receipt of a disability pension" &amp; CHAR(10) &amp;
"D: + shorter waiting period if recipient had low earnings"</f>
        <v>G: + replacement rate 80% if low previous earnings or receipt of a disability pension
D: + shorter waiting period if recipient had low earnings</v>
      </c>
      <c r="P43" s="36"/>
      <c r="Q43" s="36"/>
    </row>
    <row r="44" spans="1:17" ht="34.200000000000003" x14ac:dyDescent="0.25">
      <c r="A44" s="65" t="s">
        <v>80</v>
      </c>
      <c r="B44" s="39" t="s">
        <v>151</v>
      </c>
      <c r="C44" s="188" t="s">
        <v>97</v>
      </c>
      <c r="D44" s="188" t="s">
        <v>134</v>
      </c>
      <c r="E44" s="188">
        <v>0</v>
      </c>
      <c r="F44" s="189">
        <v>10</v>
      </c>
      <c r="G44" s="586">
        <v>0.4</v>
      </c>
      <c r="H44" s="587"/>
      <c r="I44" s="189" t="s">
        <v>100</v>
      </c>
      <c r="J44" s="246">
        <f>1168.2*12/'Average wages'!B36</f>
        <v>0.18753461492153953</v>
      </c>
      <c r="K44" s="229">
        <f>2336.53*12/'Average wages'!B36</f>
        <v>0.37509009912910862</v>
      </c>
      <c r="L44" s="200" t="s">
        <v>123</v>
      </c>
      <c r="M44" s="38" t="s">
        <v>95</v>
      </c>
      <c r="N44" s="188" t="s">
        <v>95</v>
      </c>
      <c r="O44" s="189" t="s">
        <v>95</v>
      </c>
      <c r="P44" s="36"/>
      <c r="Q44" s="36"/>
    </row>
    <row r="45" spans="1:17" ht="34.200000000000003" x14ac:dyDescent="0.25">
      <c r="A45" s="65" t="s">
        <v>81</v>
      </c>
      <c r="B45" s="238" t="s">
        <v>135</v>
      </c>
      <c r="C45" s="43" t="s">
        <v>97</v>
      </c>
      <c r="D45" s="43" t="s">
        <v>1213</v>
      </c>
      <c r="E45" s="43">
        <v>7</v>
      </c>
      <c r="F45" s="244">
        <v>6</v>
      </c>
      <c r="G45" s="582" t="str">
        <f>"Weekly flat rate of GBP 73.10 ("&amp;TEXT(73.1*52*100/'Average wages'!B37,"0.0")&amp;"% of AW)"</f>
        <v>Weekly flat rate of GBP 73.10 (9.1% of AW)</v>
      </c>
      <c r="H45" s="583"/>
      <c r="I45" s="244" t="s">
        <v>95</v>
      </c>
      <c r="J45" s="245" t="s">
        <v>95</v>
      </c>
      <c r="K45" s="239" t="str">
        <f>"Flat rate of "&amp;TEXT(73.1*52/'Average wages'!B37,"0%")</f>
        <v>Flat rate of 9%</v>
      </c>
      <c r="L45" s="236" t="str">
        <f>"GBP 5 ("&amp;TEXT(5*52*100/'Average wages'!B37,"0.0")&amp;"% of AW) are disregarded per week. Earnings  reduce benefit one-for-one above this level. Must be working less than 16 hours a week."</f>
        <v>GBP 5 (0.6% of AW) are disregarded per week. Earnings  reduce benefit one-for-one above this level. Must be working less than 16 hours a week.</v>
      </c>
      <c r="M45" s="235" t="s">
        <v>762</v>
      </c>
      <c r="N45" s="43" t="s">
        <v>95</v>
      </c>
      <c r="O45" s="244" t="s">
        <v>95</v>
      </c>
      <c r="P45" s="43"/>
      <c r="Q45" s="43"/>
    </row>
    <row r="46" spans="1:17" ht="57" x14ac:dyDescent="0.25">
      <c r="A46" s="65" t="s">
        <v>1390</v>
      </c>
      <c r="B46" s="39" t="s">
        <v>955</v>
      </c>
      <c r="C46" s="188" t="s">
        <v>97</v>
      </c>
      <c r="D46" s="188" t="s">
        <v>152</v>
      </c>
      <c r="E46" s="188">
        <v>0</v>
      </c>
      <c r="F46" s="189">
        <v>4.5999999999999996</v>
      </c>
      <c r="G46" s="586" t="s">
        <v>755</v>
      </c>
      <c r="H46" s="587"/>
      <c r="I46" s="189" t="s">
        <v>153</v>
      </c>
      <c r="J46" s="201">
        <f>(150*52)/'Average wages'!B38</f>
        <v>0.12952424166383805</v>
      </c>
      <c r="K46" s="201">
        <f>(362*52)/'Average wages'!B38</f>
        <v>0.31258516988206253</v>
      </c>
      <c r="L46" s="200" t="s">
        <v>1003</v>
      </c>
      <c r="M46" s="38" t="s">
        <v>95</v>
      </c>
      <c r="N46" s="247" t="str">
        <f>"G: + weekly lump-sum of USD 6 ("&amp;TEXT(100*6*12/'Average wages'!B38,"0.00")&amp;"% of AW) for each dependent for up to 5 dependents"</f>
        <v>G: + weekly lump-sum of USD 6 (0.12% of AW) for each dependent for up to 5 dependents</v>
      </c>
      <c r="O46" s="189" t="s">
        <v>95</v>
      </c>
      <c r="P46" s="36"/>
      <c r="Q46" s="36"/>
    </row>
    <row r="47" spans="1:17" x14ac:dyDescent="0.25">
      <c r="A47" s="21" t="s">
        <v>1149</v>
      </c>
      <c r="B47" s="33"/>
      <c r="C47" s="29"/>
      <c r="D47" s="29"/>
      <c r="E47" s="29"/>
      <c r="F47" s="34"/>
      <c r="G47" s="33"/>
      <c r="H47" s="34"/>
      <c r="I47" s="34"/>
      <c r="J47" s="29"/>
      <c r="K47" s="29"/>
      <c r="L47" s="193"/>
      <c r="M47" s="33"/>
      <c r="N47" s="29"/>
      <c r="O47" s="34"/>
      <c r="P47" s="29"/>
      <c r="Q47" s="29"/>
    </row>
    <row r="48" spans="1:17" ht="34.200000000000003" x14ac:dyDescent="0.25">
      <c r="A48" s="256" t="s">
        <v>83</v>
      </c>
      <c r="B48" s="226" t="s">
        <v>154</v>
      </c>
      <c r="C48" s="248" t="s">
        <v>97</v>
      </c>
      <c r="D48" s="41" t="s">
        <v>1047</v>
      </c>
      <c r="E48" s="41">
        <v>0</v>
      </c>
      <c r="F48" s="42">
        <v>12</v>
      </c>
      <c r="G48" s="582">
        <v>0.6</v>
      </c>
      <c r="H48" s="583"/>
      <c r="I48" s="249" t="s">
        <v>100</v>
      </c>
      <c r="J48" s="227">
        <f>9*5*52/'Average wages'!B40</f>
        <v>0.14538522469635334</v>
      </c>
      <c r="K48" s="250">
        <f>74.29*5*52/'Average wages'!B40</f>
        <v>1.2000742602991212</v>
      </c>
      <c r="L48" s="529" t="s">
        <v>759</v>
      </c>
      <c r="M48" s="228" t="s">
        <v>95</v>
      </c>
      <c r="N48" s="41" t="s">
        <v>95</v>
      </c>
      <c r="O48" s="42" t="s">
        <v>95</v>
      </c>
      <c r="P48" s="43"/>
      <c r="Q48" s="43"/>
    </row>
    <row r="49" spans="1:17" ht="68.400000000000006" x14ac:dyDescent="0.25">
      <c r="A49" s="65" t="s">
        <v>84</v>
      </c>
      <c r="B49" s="39" t="s">
        <v>155</v>
      </c>
      <c r="C49" s="188" t="s">
        <v>1258</v>
      </c>
      <c r="D49" s="188" t="s">
        <v>1259</v>
      </c>
      <c r="E49" s="188">
        <v>0</v>
      </c>
      <c r="F49" s="189">
        <f>420/30</f>
        <v>14</v>
      </c>
      <c r="G49" s="200" t="s">
        <v>618</v>
      </c>
      <c r="H49" s="190" t="s">
        <v>619</v>
      </c>
      <c r="I49" s="189" t="s">
        <v>100</v>
      </c>
      <c r="J49" s="201">
        <f>4062.51*0.8*0.5*12/'Average wages'!B41</f>
        <v>0.18838020472228811</v>
      </c>
      <c r="K49" s="201" t="str">
        <f>"Until day 90: "&amp;TEXT(6457*0.7*12/'Average wages'!B41,"0%")&amp;"; From day 91: "&amp;TEXT(6457*0.35*12/'Average wages'!B41,"0%")</f>
        <v>Until day 90: 52%; From day 91: 26%</v>
      </c>
      <c r="L49" s="200" t="s">
        <v>1260</v>
      </c>
      <c r="M49" s="35" t="s">
        <v>765</v>
      </c>
      <c r="N49" s="188" t="s">
        <v>95</v>
      </c>
      <c r="O49" s="189" t="s">
        <v>95</v>
      </c>
      <c r="P49" s="36"/>
      <c r="Q49" s="36"/>
    </row>
    <row r="50" spans="1:17" s="251" customFormat="1" ht="68.400000000000006" x14ac:dyDescent="0.25">
      <c r="A50" s="65" t="s">
        <v>585</v>
      </c>
      <c r="B50" s="39" t="s">
        <v>638</v>
      </c>
      <c r="C50" s="188" t="s">
        <v>97</v>
      </c>
      <c r="D50" s="188" t="s">
        <v>1261</v>
      </c>
      <c r="E50" s="188">
        <v>3</v>
      </c>
      <c r="F50" s="189">
        <v>6</v>
      </c>
      <c r="G50" s="586" t="s">
        <v>756</v>
      </c>
      <c r="H50" s="587"/>
      <c r="I50" s="189" t="s">
        <v>757</v>
      </c>
      <c r="J50" s="201">
        <f>9106*0.6/'Average wages'!B42</f>
        <v>0.23587787991507589</v>
      </c>
      <c r="K50" s="201">
        <f>9106*1.6/'Average wages'!B42</f>
        <v>0.62900767977353578</v>
      </c>
      <c r="L50" s="200" t="str">
        <f>"Earnings below EUR 381 per month permitted ("&amp;TEXT(381*12/'Average wages'!B42,"0%")&amp;" of AW) but only if a person works outside normal working hours"</f>
        <v>Earnings below EUR 381 per month permitted (20% of AW) but only if a person works outside normal working hours</v>
      </c>
      <c r="M50" s="38" t="s">
        <v>95</v>
      </c>
      <c r="N50" s="188" t="s">
        <v>1262</v>
      </c>
      <c r="O50" s="189" t="s">
        <v>95</v>
      </c>
      <c r="P50" s="70"/>
      <c r="Q50" s="70"/>
    </row>
    <row r="51" spans="1:17" ht="91.2" x14ac:dyDescent="0.25">
      <c r="A51" s="65" t="s">
        <v>1391</v>
      </c>
      <c r="B51" s="228" t="s">
        <v>578</v>
      </c>
      <c r="C51" s="41" t="s">
        <v>97</v>
      </c>
      <c r="D51" s="41" t="s">
        <v>137</v>
      </c>
      <c r="E51" s="41">
        <v>0</v>
      </c>
      <c r="F51" s="42" t="s">
        <v>1048</v>
      </c>
      <c r="G51" s="584" t="str">
        <f>"Flat rate of EUR 8.13/day for single persons without partner or children ("&amp;TEXT(8.13*5*52/'Average wages'!B43,"0%")&amp;" of AW). Low-income households may be eligibile for the Special Unemployument Benefit (SUB), which provides a flat rate of EUR 14.25/day for single persons without partner or children ("&amp;TEXT(14.25*5*52/'Average wages'!B43,"0%")&amp;" of AW). The two benefit programmes cannot be cumulated."</f>
        <v>Flat rate of EUR 8.13/day for single persons without partner or children (8% of AW). Low-income households may be eligibile for the Special Unemployument Benefit (SUB), which provides a flat rate of EUR 14.25/day for single persons without partner or children (14% of AW). The two benefit programmes cannot be cumulated.</v>
      </c>
      <c r="H51" s="585"/>
      <c r="I51" s="42" t="s">
        <v>1049</v>
      </c>
      <c r="J51" s="227" t="s">
        <v>95</v>
      </c>
      <c r="K51" s="252" t="s">
        <v>623</v>
      </c>
      <c r="L51" s="529" t="s">
        <v>1050</v>
      </c>
      <c r="M51" s="228" t="s">
        <v>95</v>
      </c>
      <c r="N51" s="41" t="s">
        <v>771</v>
      </c>
      <c r="O51" s="42" t="s">
        <v>95</v>
      </c>
      <c r="P51" s="43"/>
      <c r="Q51" s="43"/>
    </row>
    <row r="52" spans="1:17" ht="148.19999999999999" x14ac:dyDescent="0.25">
      <c r="A52" s="256" t="s">
        <v>87</v>
      </c>
      <c r="B52" s="226" t="s">
        <v>157</v>
      </c>
      <c r="C52" s="41" t="s">
        <v>97</v>
      </c>
      <c r="D52" s="41" t="s">
        <v>138</v>
      </c>
      <c r="E52" s="41">
        <v>0</v>
      </c>
      <c r="F52" s="42">
        <v>12</v>
      </c>
      <c r="G52" s="584" t="str">
        <f>"Basic/flat rate equal to "&amp;TEXT(0.75*500*12/'Average wages'!B44,"0%")&amp;" of AW, plus a % of the reference earnings that depends of the years of contributions. Entitlements are indipendent of the UI duration."</f>
        <v>Basic/flat rate equal to 7% of AW, plus a % of the reference earnings that depends of the years of contributions. Entitlements are indipendent of the UI duration.</v>
      </c>
      <c r="H52" s="585"/>
      <c r="I52" s="42" t="s">
        <v>100</v>
      </c>
      <c r="J52" s="242">
        <f>0.75*500*12/'Average wages'!B44</f>
        <v>6.907349419782649E-2</v>
      </c>
      <c r="K52" s="250" t="s">
        <v>103</v>
      </c>
      <c r="L52" s="529" t="s">
        <v>760</v>
      </c>
      <c r="M52" s="228" t="s">
        <v>1051</v>
      </c>
      <c r="N52" s="41" t="s">
        <v>95</v>
      </c>
      <c r="O52" s="42" t="s">
        <v>95</v>
      </c>
      <c r="P52" s="43"/>
      <c r="Q52" s="43"/>
    </row>
    <row r="53" spans="1:17" x14ac:dyDescent="0.25">
      <c r="A53" s="29"/>
      <c r="B53" s="29"/>
      <c r="C53" s="29"/>
      <c r="D53" s="29"/>
      <c r="E53" s="29"/>
      <c r="F53" s="29"/>
      <c r="G53" s="29"/>
      <c r="H53" s="29"/>
      <c r="I53" s="29"/>
      <c r="J53" s="29"/>
      <c r="K53" s="29"/>
      <c r="L53" s="29"/>
      <c r="M53" s="29"/>
      <c r="N53" s="29"/>
      <c r="O53" s="29"/>
      <c r="P53" s="29"/>
      <c r="Q53" s="29"/>
    </row>
    <row r="54" spans="1:17" x14ac:dyDescent="0.25">
      <c r="A54" s="30" t="s">
        <v>88</v>
      </c>
      <c r="B54" s="29"/>
      <c r="C54" s="29"/>
      <c r="D54" s="29"/>
      <c r="E54" s="29"/>
      <c r="F54" s="29"/>
      <c r="G54" s="29"/>
      <c r="H54" s="29"/>
      <c r="I54" s="29"/>
      <c r="J54" s="29"/>
      <c r="K54" s="29"/>
      <c r="L54" s="29"/>
      <c r="M54" s="29"/>
      <c r="N54" s="29"/>
      <c r="O54" s="29"/>
      <c r="P54" s="29"/>
      <c r="Q54" s="29"/>
    </row>
    <row r="55" spans="1:17" x14ac:dyDescent="0.25">
      <c r="A55" s="29" t="s">
        <v>89</v>
      </c>
      <c r="B55" s="29"/>
      <c r="C55" s="29"/>
      <c r="D55" s="29"/>
      <c r="E55" s="29"/>
      <c r="F55" s="29"/>
      <c r="G55" s="29"/>
      <c r="H55" s="29"/>
      <c r="I55" s="29"/>
      <c r="J55" s="29"/>
      <c r="K55" s="29"/>
      <c r="L55" s="29"/>
      <c r="M55" s="29"/>
      <c r="N55" s="29"/>
      <c r="O55" s="29"/>
      <c r="P55" s="29"/>
      <c r="Q55" s="29"/>
    </row>
    <row r="56" spans="1:17" x14ac:dyDescent="0.25">
      <c r="A56" s="29" t="s">
        <v>90</v>
      </c>
      <c r="B56" s="29"/>
      <c r="C56" s="29"/>
      <c r="D56" s="29"/>
      <c r="E56" s="29"/>
      <c r="F56" s="29"/>
      <c r="G56" s="29"/>
      <c r="H56" s="29"/>
      <c r="I56" s="29"/>
      <c r="J56" s="29"/>
      <c r="K56" s="29"/>
      <c r="L56" s="29"/>
      <c r="M56" s="29"/>
      <c r="N56" s="29"/>
      <c r="O56" s="29"/>
      <c r="P56" s="29"/>
      <c r="Q56" s="29"/>
    </row>
    <row r="57" spans="1:17" x14ac:dyDescent="0.25">
      <c r="A57" s="29" t="s">
        <v>1387</v>
      </c>
      <c r="B57" s="29"/>
      <c r="C57" s="29"/>
      <c r="D57" s="29"/>
      <c r="E57" s="29"/>
      <c r="F57" s="29"/>
      <c r="G57" s="29"/>
      <c r="H57" s="29"/>
      <c r="I57" s="29"/>
      <c r="J57" s="29"/>
      <c r="K57" s="29"/>
      <c r="L57" s="29"/>
      <c r="M57" s="29"/>
      <c r="N57" s="29"/>
      <c r="O57" s="29"/>
      <c r="P57" s="29"/>
      <c r="Q57" s="29"/>
    </row>
    <row r="58" spans="1:17" x14ac:dyDescent="0.25">
      <c r="A58" s="29" t="s">
        <v>1388</v>
      </c>
      <c r="B58" s="29"/>
      <c r="C58" s="29"/>
      <c r="D58" s="29"/>
      <c r="E58" s="29"/>
      <c r="F58" s="29"/>
      <c r="G58" s="29"/>
      <c r="H58" s="29"/>
      <c r="I58" s="29"/>
      <c r="J58" s="29"/>
      <c r="K58" s="29"/>
      <c r="L58" s="29"/>
      <c r="M58" s="29"/>
      <c r="N58" s="29"/>
      <c r="O58" s="29"/>
      <c r="P58" s="29"/>
      <c r="Q58" s="29"/>
    </row>
    <row r="59" spans="1:17" x14ac:dyDescent="0.25">
      <c r="A59" s="29" t="s">
        <v>952</v>
      </c>
      <c r="B59" s="29"/>
      <c r="C59" s="29"/>
      <c r="D59" s="29"/>
      <c r="E59" s="29"/>
      <c r="F59" s="29"/>
      <c r="G59" s="29"/>
      <c r="H59" s="29"/>
      <c r="I59" s="29"/>
      <c r="J59" s="29"/>
      <c r="K59" s="29"/>
      <c r="L59" s="29"/>
      <c r="M59" s="29"/>
      <c r="N59" s="29"/>
      <c r="O59" s="29"/>
      <c r="P59" s="29"/>
      <c r="Q59" s="29"/>
    </row>
    <row r="60" spans="1:17" x14ac:dyDescent="0.25">
      <c r="A60" s="29" t="s">
        <v>1430</v>
      </c>
      <c r="B60" s="24"/>
      <c r="C60" s="24"/>
      <c r="D60" s="29"/>
      <c r="E60" s="29"/>
      <c r="F60" s="29"/>
      <c r="G60" s="29"/>
      <c r="H60" s="29"/>
      <c r="I60" s="29"/>
      <c r="J60" s="27"/>
      <c r="K60" s="27"/>
      <c r="L60" s="27"/>
      <c r="M60" s="27"/>
      <c r="N60" s="27"/>
      <c r="O60" s="27"/>
      <c r="P60" s="27"/>
      <c r="Q60" s="27"/>
    </row>
    <row r="61" spans="1:17" x14ac:dyDescent="0.25">
      <c r="A61" s="29" t="s">
        <v>1392</v>
      </c>
      <c r="B61" s="29"/>
      <c r="C61" s="29"/>
      <c r="D61" s="29"/>
      <c r="E61" s="29"/>
      <c r="F61" s="29"/>
      <c r="G61" s="29"/>
      <c r="H61" s="29"/>
      <c r="I61" s="29"/>
      <c r="J61" s="29"/>
      <c r="K61" s="29"/>
      <c r="L61" s="29"/>
      <c r="M61" s="29"/>
      <c r="N61" s="29"/>
      <c r="O61" s="29"/>
      <c r="P61" s="29"/>
      <c r="Q61" s="29"/>
    </row>
    <row r="62" spans="1:17" x14ac:dyDescent="0.25">
      <c r="A62" s="24"/>
      <c r="C62" s="26"/>
      <c r="D62" s="556"/>
      <c r="E62" s="556"/>
      <c r="F62" s="556"/>
      <c r="G62" s="556"/>
      <c r="H62" s="556"/>
      <c r="I62" s="556"/>
      <c r="J62" s="556"/>
      <c r="K62" s="556"/>
      <c r="L62" s="556"/>
      <c r="M62" s="556"/>
      <c r="N62" s="556"/>
      <c r="O62" s="556"/>
      <c r="P62" s="556"/>
      <c r="Q62" s="556"/>
    </row>
    <row r="63" spans="1:17" x14ac:dyDescent="0.25">
      <c r="A63" s="32" t="s">
        <v>139</v>
      </c>
      <c r="B63" s="253" t="s">
        <v>6</v>
      </c>
    </row>
  </sheetData>
  <autoFilter ref="A11:A52" xr:uid="{00000000-0009-0000-0000-000001000000}"/>
  <mergeCells count="37">
    <mergeCell ref="A1:O1"/>
    <mergeCell ref="A2:O2"/>
    <mergeCell ref="A3:O3"/>
    <mergeCell ref="B7:B9"/>
    <mergeCell ref="C7:C9"/>
    <mergeCell ref="D7:D9"/>
    <mergeCell ref="E7:E9"/>
    <mergeCell ref="F7:F9"/>
    <mergeCell ref="G7:L7"/>
    <mergeCell ref="M7:O8"/>
    <mergeCell ref="G8:G9"/>
    <mergeCell ref="H8:H9"/>
    <mergeCell ref="I8:I9"/>
    <mergeCell ref="L8:L9"/>
    <mergeCell ref="G33:H33"/>
    <mergeCell ref="G13:H13"/>
    <mergeCell ref="G15:H15"/>
    <mergeCell ref="G18:H18"/>
    <mergeCell ref="G20:H20"/>
    <mergeCell ref="G21:H21"/>
    <mergeCell ref="G22:H22"/>
    <mergeCell ref="G23:H23"/>
    <mergeCell ref="G24:H24"/>
    <mergeCell ref="G26:H26"/>
    <mergeCell ref="G29:H29"/>
    <mergeCell ref="G30:H30"/>
    <mergeCell ref="G27:H27"/>
    <mergeCell ref="G48:H48"/>
    <mergeCell ref="G51:H51"/>
    <mergeCell ref="G52:H52"/>
    <mergeCell ref="G36:H36"/>
    <mergeCell ref="G39:H39"/>
    <mergeCell ref="G43:H43"/>
    <mergeCell ref="G44:H44"/>
    <mergeCell ref="G45:H45"/>
    <mergeCell ref="G46:H46"/>
    <mergeCell ref="G50:H50"/>
  </mergeCells>
  <hyperlinks>
    <hyperlink ref="B63" r:id="rId1" xr:uid="{00000000-0004-0000-0100-000000000000}"/>
  </hyperlinks>
  <pageMargins left="0.7" right="0.7" top="0.75" bottom="0.75" header="0.3" footer="0.3"/>
  <pageSetup paperSize="9" orientation="portrait" r:id="rId2"/>
  <headerFooter>
    <oddFooter>&amp;C_x000D_&amp;1#&amp;"Calibri"&amp;10&amp;K0000FF Restricted Use - À usage restreint</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67"/>
  <sheetViews>
    <sheetView zoomScale="70" zoomScaleNormal="70" workbookViewId="0">
      <pane xSplit="1" ySplit="10" topLeftCell="B11" activePane="bottomRight" state="frozen"/>
      <selection pane="topRight" activeCell="B1" sqref="B1"/>
      <selection pane="bottomLeft" activeCell="A11" sqref="A11"/>
      <selection pane="bottomRight" sqref="A1:N1"/>
    </sheetView>
  </sheetViews>
  <sheetFormatPr defaultColWidth="8.6640625" defaultRowHeight="13.2" x14ac:dyDescent="0.25"/>
  <cols>
    <col min="1" max="1" width="18.88671875" style="23" customWidth="1"/>
    <col min="2" max="2" width="33" style="23" bestFit="1" customWidth="1"/>
    <col min="3" max="3" width="26.109375" style="23" customWidth="1"/>
    <col min="4" max="4" width="14.44140625" style="23" customWidth="1"/>
    <col min="5" max="5" width="17.109375" style="23" customWidth="1"/>
    <col min="6" max="6" width="15.44140625" style="23" customWidth="1"/>
    <col min="7" max="7" width="20.44140625" style="23" customWidth="1"/>
    <col min="8" max="8" width="11.44140625" style="23" customWidth="1"/>
    <col min="9" max="10" width="14.109375" style="23" customWidth="1"/>
    <col min="11" max="11" width="42" style="23" customWidth="1"/>
    <col min="12" max="12" width="15.109375" style="23" bestFit="1" customWidth="1"/>
    <col min="13" max="13" width="16.5546875" style="23" bestFit="1" customWidth="1"/>
    <col min="14" max="14" width="16.109375" style="23" bestFit="1" customWidth="1"/>
    <col min="15" max="16384" width="8.6640625" style="23"/>
  </cols>
  <sheetData>
    <row r="1" spans="1:16" ht="17.399999999999999" x14ac:dyDescent="0.3">
      <c r="A1" s="592" t="s">
        <v>190</v>
      </c>
      <c r="B1" s="593"/>
      <c r="C1" s="593"/>
      <c r="D1" s="593"/>
      <c r="E1" s="593"/>
      <c r="F1" s="593"/>
      <c r="G1" s="593"/>
      <c r="H1" s="593"/>
      <c r="I1" s="593"/>
      <c r="J1" s="593"/>
      <c r="K1" s="593"/>
      <c r="L1" s="593"/>
      <c r="M1" s="593"/>
      <c r="N1" s="593"/>
      <c r="O1" s="516"/>
      <c r="P1" s="516"/>
    </row>
    <row r="2" spans="1:16" ht="17.399999999999999" x14ac:dyDescent="0.3">
      <c r="A2" s="592">
        <v>2020</v>
      </c>
      <c r="B2" s="592"/>
      <c r="C2" s="592"/>
      <c r="D2" s="592"/>
      <c r="E2" s="592"/>
      <c r="F2" s="592"/>
      <c r="G2" s="592"/>
      <c r="H2" s="592"/>
      <c r="I2" s="592"/>
      <c r="J2" s="592"/>
      <c r="K2" s="592"/>
      <c r="L2" s="592"/>
      <c r="M2" s="592"/>
      <c r="N2" s="592"/>
      <c r="O2" s="515"/>
      <c r="P2" s="515"/>
    </row>
    <row r="3" spans="1:16" ht="14.4" customHeight="1" x14ac:dyDescent="0.25">
      <c r="A3" s="594" t="s">
        <v>1394</v>
      </c>
      <c r="B3" s="594"/>
      <c r="C3" s="594"/>
      <c r="D3" s="594"/>
      <c r="E3" s="594"/>
      <c r="F3" s="594"/>
      <c r="G3" s="594"/>
      <c r="H3" s="594"/>
      <c r="I3" s="594"/>
      <c r="J3" s="594"/>
      <c r="K3" s="594"/>
      <c r="L3" s="594"/>
      <c r="M3" s="594"/>
      <c r="N3" s="594"/>
      <c r="O3" s="517"/>
      <c r="P3" s="517"/>
    </row>
    <row r="4" spans="1:16" ht="14.4" customHeight="1" x14ac:dyDescent="0.25"/>
    <row r="5" spans="1:16" ht="14.4" hidden="1" customHeight="1" x14ac:dyDescent="0.25">
      <c r="A5" s="28" t="s">
        <v>5</v>
      </c>
      <c r="B5" s="28" t="s">
        <v>8</v>
      </c>
      <c r="C5" s="28" t="s">
        <v>8</v>
      </c>
      <c r="D5" s="28" t="s">
        <v>8</v>
      </c>
      <c r="E5" s="28" t="s">
        <v>8</v>
      </c>
      <c r="F5" s="28" t="s">
        <v>8</v>
      </c>
      <c r="G5" s="28" t="s">
        <v>8</v>
      </c>
      <c r="H5" s="28" t="s">
        <v>8</v>
      </c>
      <c r="I5" s="28" t="s">
        <v>9</v>
      </c>
      <c r="J5" s="28" t="s">
        <v>9</v>
      </c>
      <c r="K5" s="28" t="s">
        <v>8</v>
      </c>
      <c r="L5" s="28" t="s">
        <v>8</v>
      </c>
      <c r="M5" s="28" t="s">
        <v>8</v>
      </c>
      <c r="N5" s="28" t="s">
        <v>8</v>
      </c>
    </row>
    <row r="6" spans="1:16" ht="14.4" hidden="1" customHeight="1" x14ac:dyDescent="0.25">
      <c r="A6" s="7" t="s">
        <v>10</v>
      </c>
      <c r="B6" s="50" t="s">
        <v>160</v>
      </c>
      <c r="C6" s="9" t="s">
        <v>161</v>
      </c>
      <c r="D6" s="9" t="s">
        <v>162</v>
      </c>
      <c r="E6" s="9" t="s">
        <v>163</v>
      </c>
      <c r="F6" s="9" t="s">
        <v>164</v>
      </c>
      <c r="G6" s="11" t="s">
        <v>165</v>
      </c>
      <c r="H6" s="11" t="s">
        <v>166</v>
      </c>
      <c r="I6" s="11" t="s">
        <v>167</v>
      </c>
      <c r="J6" s="11" t="s">
        <v>168</v>
      </c>
      <c r="K6" s="11" t="s">
        <v>169</v>
      </c>
      <c r="L6" s="11" t="s">
        <v>170</v>
      </c>
      <c r="M6" s="11" t="s">
        <v>171</v>
      </c>
      <c r="N6" s="11" t="s">
        <v>172</v>
      </c>
    </row>
    <row r="7" spans="1:16" ht="20.399999999999999" customHeight="1" x14ac:dyDescent="0.25">
      <c r="A7" s="157"/>
      <c r="B7" s="595" t="s">
        <v>25</v>
      </c>
      <c r="C7" s="597" t="s">
        <v>174</v>
      </c>
      <c r="D7" s="597" t="s">
        <v>27</v>
      </c>
      <c r="E7" s="599" t="s">
        <v>28</v>
      </c>
      <c r="F7" s="601" t="s">
        <v>29</v>
      </c>
      <c r="G7" s="602"/>
      <c r="H7" s="602"/>
      <c r="I7" s="602"/>
      <c r="J7" s="602"/>
      <c r="K7" s="602"/>
      <c r="L7" s="595" t="s">
        <v>1004</v>
      </c>
      <c r="M7" s="597"/>
      <c r="N7" s="599"/>
    </row>
    <row r="8" spans="1:16" ht="20.399999999999999" customHeight="1" x14ac:dyDescent="0.25">
      <c r="A8" s="34"/>
      <c r="B8" s="596"/>
      <c r="C8" s="598"/>
      <c r="D8" s="598"/>
      <c r="E8" s="600"/>
      <c r="F8" s="595" t="s">
        <v>176</v>
      </c>
      <c r="G8" s="597" t="s">
        <v>177</v>
      </c>
      <c r="H8" s="599" t="s">
        <v>1395</v>
      </c>
      <c r="I8" s="522" t="s">
        <v>32</v>
      </c>
      <c r="J8" s="12" t="s">
        <v>33</v>
      </c>
      <c r="K8" s="595" t="s">
        <v>34</v>
      </c>
      <c r="L8" s="596"/>
      <c r="M8" s="598"/>
      <c r="N8" s="600"/>
    </row>
    <row r="9" spans="1:16" ht="20.399999999999999" customHeight="1" x14ac:dyDescent="0.25">
      <c r="A9" s="34"/>
      <c r="B9" s="596"/>
      <c r="C9" s="598"/>
      <c r="D9" s="598"/>
      <c r="E9" s="600"/>
      <c r="F9" s="596"/>
      <c r="G9" s="598"/>
      <c r="H9" s="600"/>
      <c r="I9" s="195" t="s">
        <v>35</v>
      </c>
      <c r="J9" s="521" t="s">
        <v>35</v>
      </c>
      <c r="K9" s="596"/>
      <c r="L9" s="195" t="s">
        <v>36</v>
      </c>
      <c r="M9" s="521" t="s">
        <v>37</v>
      </c>
      <c r="N9" s="195" t="s">
        <v>38</v>
      </c>
    </row>
    <row r="10" spans="1:16" x14ac:dyDescent="0.25">
      <c r="A10" s="64"/>
      <c r="B10" s="542" t="s">
        <v>39</v>
      </c>
      <c r="C10" s="543" t="s">
        <v>40</v>
      </c>
      <c r="D10" s="543" t="s">
        <v>41</v>
      </c>
      <c r="E10" s="544" t="s">
        <v>42</v>
      </c>
      <c r="F10" s="542" t="s">
        <v>43</v>
      </c>
      <c r="G10" s="543" t="s">
        <v>44</v>
      </c>
      <c r="H10" s="543" t="s">
        <v>45</v>
      </c>
      <c r="I10" s="14" t="s">
        <v>46</v>
      </c>
      <c r="J10" s="14" t="s">
        <v>47</v>
      </c>
      <c r="K10" s="542" t="s">
        <v>48</v>
      </c>
      <c r="L10" s="14" t="s">
        <v>49</v>
      </c>
      <c r="M10" s="14" t="s">
        <v>50</v>
      </c>
      <c r="N10" s="14" t="s">
        <v>51</v>
      </c>
    </row>
    <row r="11" spans="1:16" x14ac:dyDescent="0.25">
      <c r="A11" s="51" t="s">
        <v>53</v>
      </c>
      <c r="B11" s="45"/>
      <c r="C11" s="46"/>
      <c r="D11" s="46"/>
      <c r="E11" s="47"/>
      <c r="F11" s="45"/>
      <c r="G11" s="46"/>
      <c r="H11" s="48"/>
      <c r="I11" s="45"/>
      <c r="J11" s="47"/>
      <c r="K11" s="46"/>
      <c r="L11" s="45"/>
      <c r="M11" s="46"/>
      <c r="N11" s="49"/>
    </row>
    <row r="12" spans="1:16" ht="136.80000000000001" x14ac:dyDescent="0.25">
      <c r="A12" s="18" t="s">
        <v>178</v>
      </c>
      <c r="B12" s="38" t="s">
        <v>774</v>
      </c>
      <c r="C12" s="188" t="s">
        <v>95</v>
      </c>
      <c r="D12" s="188">
        <v>7</v>
      </c>
      <c r="E12" s="189" t="s">
        <v>179</v>
      </c>
      <c r="F12" s="586" t="str">
        <f>"Flat rate of AUD 1,211.17/month ("&amp;TEXT(1211.17*12/'Average wages'!B4,"0%")&amp;" of AW) plus energy supplement of AUD 19.07/month."</f>
        <v>Flat rate of AUD 1,211.17/month (16% of AW) plus energy supplement of AUD 19.07/month.</v>
      </c>
      <c r="G12" s="603"/>
      <c r="H12" s="188" t="s">
        <v>95</v>
      </c>
      <c r="I12" s="200" t="s">
        <v>95</v>
      </c>
      <c r="J12" s="190" t="str">
        <f>"Flat rate of "&amp;TEXT((1211.17+19.07)*12/'Average wages'!B4,"0%")&amp;" of AW including energy supplement"</f>
        <v>Flat rate of 16% of AW including energy supplement</v>
      </c>
      <c r="K12" s="201" t="str">
        <f>"Income disregard of AUD 104 per fortnight ("&amp;TEXT(104*26/'Average wages'!B4,"0%")&amp;" of AW), 50% withdrawal beyond this point up to AUD 254 ("&amp;TEXT(254*26/'Average wages'!B4,"0%")&amp;" of AW), 60% withdrawal rate thereafter "</f>
        <v xml:space="preserve">Income disregard of AUD 104 per fortnight (3% of AW), 50% withdrawal beyond this point up to AUD 254 (7% of AW), 60% withdrawal rate thereafter </v>
      </c>
      <c r="L12" s="257" t="s">
        <v>728</v>
      </c>
      <c r="M12" s="52" t="s">
        <v>782</v>
      </c>
      <c r="N12" s="53" t="s">
        <v>95</v>
      </c>
    </row>
    <row r="13" spans="1:16" ht="68.400000000000006" x14ac:dyDescent="0.25">
      <c r="A13" s="18" t="s">
        <v>54</v>
      </c>
      <c r="B13" s="39" t="s">
        <v>610</v>
      </c>
      <c r="C13" s="188" t="s">
        <v>611</v>
      </c>
      <c r="D13" s="188">
        <v>0</v>
      </c>
      <c r="E13" s="189" t="s">
        <v>179</v>
      </c>
      <c r="F13" s="201">
        <v>0.92</v>
      </c>
      <c r="G13" s="201">
        <v>0.92</v>
      </c>
      <c r="H13" s="188" t="s">
        <v>612</v>
      </c>
      <c r="I13" s="200" t="s">
        <v>95</v>
      </c>
      <c r="J13" s="190">
        <v>0.39</v>
      </c>
      <c r="K13" s="201" t="str">
        <f>"No reduction for earnings up to EUR 460.66 per month ("&amp;TEXT(100*460.66*12/'Average wages'!B5,0)&amp;"% of AW, Geringfügigkeitsgrenze 2020), benefit fully withdrawn if earnings exceed this level"</f>
        <v>No reduction for earnings up to EUR 460.66 per month (11% of AW, Geringfügigkeitsgrenze 2020), benefit fully withdrawn if earnings exceed this level</v>
      </c>
      <c r="L13" s="257"/>
      <c r="M13" s="52" t="s">
        <v>1153</v>
      </c>
      <c r="N13" s="53" t="s">
        <v>613</v>
      </c>
    </row>
    <row r="14" spans="1:16" x14ac:dyDescent="0.25">
      <c r="A14" s="18" t="s">
        <v>240</v>
      </c>
      <c r="B14" s="39" t="s">
        <v>1275</v>
      </c>
      <c r="C14" s="188"/>
      <c r="D14" s="188"/>
      <c r="E14" s="189"/>
      <c r="F14" s="201"/>
      <c r="G14" s="201"/>
      <c r="H14" s="188"/>
      <c r="I14" s="200"/>
      <c r="J14" s="190"/>
      <c r="K14" s="201"/>
      <c r="L14" s="257"/>
      <c r="M14" s="52"/>
      <c r="N14" s="53"/>
    </row>
    <row r="15" spans="1:16" x14ac:dyDescent="0.25">
      <c r="A15" s="18" t="s">
        <v>310</v>
      </c>
      <c r="B15" s="39" t="s">
        <v>1275</v>
      </c>
      <c r="C15" s="188"/>
      <c r="D15" s="188"/>
      <c r="E15" s="189"/>
      <c r="F15" s="201"/>
      <c r="G15" s="201"/>
      <c r="H15" s="188"/>
      <c r="I15" s="200"/>
      <c r="J15" s="190"/>
      <c r="K15" s="201"/>
      <c r="L15" s="257"/>
      <c r="M15" s="52"/>
      <c r="N15" s="53"/>
    </row>
    <row r="16" spans="1:16" x14ac:dyDescent="0.25">
      <c r="A16" s="18" t="s">
        <v>56</v>
      </c>
      <c r="B16" s="39" t="s">
        <v>1275</v>
      </c>
      <c r="C16" s="188"/>
      <c r="D16" s="188"/>
      <c r="E16" s="189"/>
      <c r="F16" s="201"/>
      <c r="G16" s="201"/>
      <c r="H16" s="188"/>
      <c r="I16" s="200"/>
      <c r="J16" s="190"/>
      <c r="K16" s="201"/>
      <c r="L16" s="257"/>
      <c r="M16" s="52"/>
      <c r="N16" s="53"/>
    </row>
    <row r="17" spans="1:14" x14ac:dyDescent="0.25">
      <c r="A17" s="18" t="s">
        <v>57</v>
      </c>
      <c r="B17" s="39" t="s">
        <v>1275</v>
      </c>
      <c r="C17" s="188"/>
      <c r="D17" s="188"/>
      <c r="E17" s="189"/>
      <c r="F17" s="201"/>
      <c r="G17" s="201"/>
      <c r="H17" s="188"/>
      <c r="I17" s="200"/>
      <c r="J17" s="190"/>
      <c r="K17" s="201"/>
      <c r="L17" s="257"/>
      <c r="M17" s="52"/>
      <c r="N17" s="53"/>
    </row>
    <row r="18" spans="1:14" x14ac:dyDescent="0.25">
      <c r="A18" s="18" t="s">
        <v>58</v>
      </c>
      <c r="B18" s="39" t="s">
        <v>1275</v>
      </c>
      <c r="C18" s="188"/>
      <c r="D18" s="188"/>
      <c r="E18" s="189"/>
      <c r="F18" s="201"/>
      <c r="G18" s="201"/>
      <c r="H18" s="188"/>
      <c r="I18" s="200"/>
      <c r="J18" s="190"/>
      <c r="K18" s="201"/>
      <c r="L18" s="257"/>
      <c r="M18" s="52"/>
      <c r="N18" s="53"/>
    </row>
    <row r="19" spans="1:14" ht="45.6" x14ac:dyDescent="0.25">
      <c r="A19" s="18" t="s">
        <v>59</v>
      </c>
      <c r="B19" s="40" t="s">
        <v>180</v>
      </c>
      <c r="C19" s="36" t="s">
        <v>664</v>
      </c>
      <c r="D19" s="36">
        <v>7</v>
      </c>
      <c r="E19" s="191" t="s">
        <v>181</v>
      </c>
      <c r="F19" s="586" t="s">
        <v>1264</v>
      </c>
      <c r="G19" s="603"/>
      <c r="H19" s="36" t="s">
        <v>95</v>
      </c>
      <c r="I19" s="37" t="s">
        <v>95</v>
      </c>
      <c r="J19" s="20" t="str">
        <f>"Flat rate of "&amp;TEXT(189.1*12/'Average wages'!B11,"0%")</f>
        <v>Flat rate of 14%</v>
      </c>
      <c r="K19" s="19" t="s">
        <v>1265</v>
      </c>
      <c r="L19" s="198" t="s">
        <v>95</v>
      </c>
      <c r="M19" s="19" t="s">
        <v>95</v>
      </c>
      <c r="N19" s="20" t="s">
        <v>95</v>
      </c>
    </row>
    <row r="20" spans="1:14" ht="136.80000000000001" x14ac:dyDescent="0.25">
      <c r="A20" s="241" t="s">
        <v>60</v>
      </c>
      <c r="B20" s="39" t="s">
        <v>182</v>
      </c>
      <c r="C20" s="188" t="s">
        <v>123</v>
      </c>
      <c r="D20" s="188">
        <v>5</v>
      </c>
      <c r="E20" s="189" t="s">
        <v>179</v>
      </c>
      <c r="F20" s="586" t="s">
        <v>1266</v>
      </c>
      <c r="G20" s="603"/>
      <c r="H20" s="188" t="s">
        <v>95</v>
      </c>
      <c r="I20" s="200" t="s">
        <v>95</v>
      </c>
      <c r="J20" s="190" t="str">
        <f>"Flat rate of "&amp;TEXT(33.66*5*52/'Average wages'!B12,"0%")</f>
        <v>Flat rate of 19%</v>
      </c>
      <c r="K20" s="529" t="str">
        <f xml:space="preserve"> "For part-time work (&lt; 80% of full-time): benefit reduced by 50% of gross earnings exceeding EUR 300 per month ("&amp;TEXT(300*12/'Average wages'!B12,"0%")&amp;" of AW); total income (benefit + earnings) cannot exceed 100% of reference earnings. Full-time work not permitted."</f>
        <v>For part-time work (&lt; 80% of full-time): benefit reduced by 50% of gross earnings exceeding EUR 300 per month (8% of AW); total income (benefit + earnings) cannot exceed 100% of reference earnings. Full-time work not permitted.</v>
      </c>
      <c r="L20" s="257" t="s">
        <v>1267</v>
      </c>
      <c r="M20" s="188" t="s">
        <v>1268</v>
      </c>
      <c r="N20" s="190" t="s">
        <v>1396</v>
      </c>
    </row>
    <row r="21" spans="1:14" ht="91.2" x14ac:dyDescent="0.25">
      <c r="A21" s="18" t="s">
        <v>61</v>
      </c>
      <c r="B21" s="35" t="s">
        <v>191</v>
      </c>
      <c r="C21" s="36" t="s">
        <v>183</v>
      </c>
      <c r="D21" s="36">
        <v>0</v>
      </c>
      <c r="E21" s="191" t="s">
        <v>960</v>
      </c>
      <c r="F21" s="586" t="s">
        <v>961</v>
      </c>
      <c r="G21" s="603"/>
      <c r="H21" s="36" t="s">
        <v>95</v>
      </c>
      <c r="I21" s="37" t="s">
        <v>95</v>
      </c>
      <c r="J21" s="20" t="str">
        <f>"Flat rate of "&amp;TEXT(16.74*365/'Average wages'!B13,"0%")</f>
        <v>Flat rate of 16%</v>
      </c>
      <c r="K21" s="19" t="s">
        <v>962</v>
      </c>
      <c r="L21" s="198" t="s">
        <v>95</v>
      </c>
      <c r="M21" s="19" t="s">
        <v>95</v>
      </c>
      <c r="N21" s="20" t="s">
        <v>95</v>
      </c>
    </row>
    <row r="22" spans="1:14" ht="91.2" x14ac:dyDescent="0.25">
      <c r="A22" s="258" t="s">
        <v>184</v>
      </c>
      <c r="B22" s="38" t="s">
        <v>1166</v>
      </c>
      <c r="C22" s="188" t="s">
        <v>123</v>
      </c>
      <c r="D22" s="188">
        <v>0</v>
      </c>
      <c r="E22" s="189" t="s">
        <v>179</v>
      </c>
      <c r="F22" s="586" t="str">
        <f>J22</f>
        <v>Flat rate of EUR 432/month (10% of AW)</v>
      </c>
      <c r="G22" s="603"/>
      <c r="H22" s="188" t="s">
        <v>95</v>
      </c>
      <c r="I22" s="200" t="s">
        <v>95</v>
      </c>
      <c r="J22" s="190" t="str">
        <f>"Flat rate of EUR 432/month ("&amp;TEXT(100*432*12/'Average wages'!B14,0)&amp;"% of AW)"</f>
        <v>Flat rate of EUR 432/month (10% of AW)</v>
      </c>
      <c r="K22" s="201" t="str">
        <f>"EUR100/month ("&amp;TEXT(100*12/'Average wages'!B14,"0%")&amp;" of AW) of gross income disregarded
80% withdrawal rate beyond this point up to EUR1000/month ("&amp;TEXT(100*1000*12/'Average wages'!B14,0)&amp;"% of AW)
90% withdrawal rate from this point up to EUR1200/month ("&amp;TEXT(100*1200*12/'Average wages'!B14,0)&amp;"% of AW) 
100% withdrawal rate above EUR 1200/month"</f>
        <v>EUR100/month (2% of AW) of gross income disregarded
80% withdrawal rate beyond this point up to EUR1000/month (23% of AW)
90% withdrawal rate from this point up to EUR1200/month (28% of AW) 
100% withdrawal rate above EUR 1200/month</v>
      </c>
      <c r="L22" s="257" t="s">
        <v>95</v>
      </c>
      <c r="M22" s="201" t="s">
        <v>1167</v>
      </c>
      <c r="N22" s="190" t="s">
        <v>95</v>
      </c>
    </row>
    <row r="23" spans="1:14" ht="68.400000000000006" x14ac:dyDescent="0.25">
      <c r="A23" s="259" t="s">
        <v>63</v>
      </c>
      <c r="B23" s="36" t="s">
        <v>732</v>
      </c>
      <c r="C23" s="36" t="s">
        <v>1269</v>
      </c>
      <c r="D23" s="36">
        <v>0</v>
      </c>
      <c r="E23" s="191">
        <v>12</v>
      </c>
      <c r="F23" s="604" t="s">
        <v>779</v>
      </c>
      <c r="G23" s="605"/>
      <c r="H23" s="36" t="s">
        <v>95</v>
      </c>
      <c r="I23" s="37" t="s">
        <v>95</v>
      </c>
      <c r="J23" s="20" t="str">
        <f>"Flat rate of "&amp;TEXT(200*12/'Average wages'!B15,"0%")</f>
        <v>Flat rate of 11%</v>
      </c>
      <c r="K23" s="19" t="s">
        <v>1265</v>
      </c>
      <c r="L23" s="198" t="s">
        <v>95</v>
      </c>
      <c r="M23" s="19" t="str">
        <f>"E:+ maximum limit on family income increased by EUR 586 for each dependent child ("&amp;TEXT(586/'Average wages'!B15,"0%")&amp;" of AW)"</f>
        <v>E:+ maximum limit on family income increased by EUR 586 for each dependent child (3% of AW)</v>
      </c>
      <c r="N23" s="20" t="s">
        <v>95</v>
      </c>
    </row>
    <row r="24" spans="1:14" ht="45.6" x14ac:dyDescent="0.25">
      <c r="A24" s="259" t="s">
        <v>63</v>
      </c>
      <c r="B24" s="36" t="s">
        <v>733</v>
      </c>
      <c r="C24" s="36" t="s">
        <v>1270</v>
      </c>
      <c r="D24" s="36">
        <v>0</v>
      </c>
      <c r="E24" s="191" t="s">
        <v>731</v>
      </c>
      <c r="F24" s="604" t="s">
        <v>1271</v>
      </c>
      <c r="G24" s="605"/>
      <c r="H24" s="36" t="s">
        <v>95</v>
      </c>
      <c r="I24" s="37" t="s">
        <v>95</v>
      </c>
      <c r="J24" s="20" t="str">
        <f>"Lump-sum of "&amp;TEXT(207.61/'Average wages'!B15,"0%")</f>
        <v>Lump-sum of 1%</v>
      </c>
      <c r="K24" s="19" t="s">
        <v>1265</v>
      </c>
      <c r="L24" s="198" t="s">
        <v>95</v>
      </c>
      <c r="M24" s="19" t="s">
        <v>95</v>
      </c>
      <c r="N24" s="20" t="s">
        <v>1272</v>
      </c>
    </row>
    <row r="25" spans="1:14" ht="45.6" x14ac:dyDescent="0.25">
      <c r="A25" s="259" t="s">
        <v>63</v>
      </c>
      <c r="B25" s="35" t="s">
        <v>775</v>
      </c>
      <c r="C25" s="36" t="s">
        <v>1273</v>
      </c>
      <c r="D25" s="36">
        <v>0</v>
      </c>
      <c r="E25" s="191" t="s">
        <v>778</v>
      </c>
      <c r="F25" s="604" t="s">
        <v>1274</v>
      </c>
      <c r="G25" s="605"/>
      <c r="H25" s="36" t="s">
        <v>95</v>
      </c>
      <c r="I25" s="37" t="s">
        <v>95</v>
      </c>
      <c r="J25" s="20" t="str">
        <f>"Total of 3 payments: "&amp;TEXT(239.55*3/'Average wages'!B15,"0%")</f>
        <v>Total of 3 payments: 3%</v>
      </c>
      <c r="K25" s="19" t="s">
        <v>1265</v>
      </c>
      <c r="L25" s="198" t="s">
        <v>95</v>
      </c>
      <c r="M25" s="19" t="s">
        <v>783</v>
      </c>
      <c r="N25" s="20" t="s">
        <v>95</v>
      </c>
    </row>
    <row r="26" spans="1:14" s="251" customFormat="1" x14ac:dyDescent="0.25">
      <c r="A26" s="259" t="s">
        <v>64</v>
      </c>
      <c r="B26" s="260" t="s">
        <v>1275</v>
      </c>
      <c r="C26" s="70"/>
      <c r="D26" s="70"/>
      <c r="E26" s="73"/>
      <c r="F26" s="531"/>
      <c r="G26" s="532"/>
      <c r="H26" s="70"/>
      <c r="I26" s="196"/>
      <c r="J26" s="123"/>
      <c r="K26" s="72"/>
      <c r="L26" s="306"/>
      <c r="M26" s="72"/>
      <c r="N26" s="123"/>
    </row>
    <row r="27" spans="1:14" s="251" customFormat="1" x14ac:dyDescent="0.25">
      <c r="A27" s="259" t="s">
        <v>65</v>
      </c>
      <c r="B27" s="260" t="s">
        <v>1275</v>
      </c>
      <c r="C27" s="70"/>
      <c r="D27" s="70"/>
      <c r="E27" s="73"/>
      <c r="F27" s="531"/>
      <c r="G27" s="532"/>
      <c r="H27" s="70"/>
      <c r="I27" s="196"/>
      <c r="J27" s="123"/>
      <c r="K27" s="72"/>
      <c r="L27" s="306"/>
      <c r="M27" s="72"/>
      <c r="N27" s="123"/>
    </row>
    <row r="28" spans="1:14" ht="57" x14ac:dyDescent="0.25">
      <c r="A28" s="18" t="s">
        <v>66</v>
      </c>
      <c r="B28" s="39" t="s">
        <v>185</v>
      </c>
      <c r="C28" s="188" t="s">
        <v>186</v>
      </c>
      <c r="D28" s="188">
        <v>3</v>
      </c>
      <c r="E28" s="189" t="s">
        <v>179</v>
      </c>
      <c r="F28" s="586" t="str">
        <f>"Flat rate of  EUR 203/week"</f>
        <v>Flat rate of  EUR 203/week</v>
      </c>
      <c r="G28" s="603"/>
      <c r="H28" s="188" t="s">
        <v>95</v>
      </c>
      <c r="I28" s="200" t="s">
        <v>95</v>
      </c>
      <c r="J28" s="190" t="str">
        <f>"Flat rate of "&amp;TEXT(203*52*100/'Average wages'!B18,0)&amp;"%"</f>
        <v>Flat rate of 23%</v>
      </c>
      <c r="K28" s="201" t="str">
        <f>"First EUR 20 of daily wages disregarded up to 3 days per week (maximum "&amp;TEXT(60*52*100/'Average wages'!B18,0)&amp;"% of AW). Benefit reduced by 60% of average net weekly earnings in excess of this amount. Benefit withdrawn if working on more than 3 days in a seven-day period."</f>
        <v>First EUR 20 of daily wages disregarded up to 3 days per week (maximum 7% of AW). Benefit reduced by 60% of average net weekly earnings in excess of this amount. Benefit withdrawn if working on more than 3 days in a seven-day period.</v>
      </c>
      <c r="L28" s="257" t="s">
        <v>95</v>
      </c>
      <c r="M28" s="201" t="s">
        <v>784</v>
      </c>
      <c r="N28" s="190" t="s">
        <v>95</v>
      </c>
    </row>
    <row r="29" spans="1:14" s="251" customFormat="1" x14ac:dyDescent="0.25">
      <c r="A29" s="259" t="s">
        <v>67</v>
      </c>
      <c r="B29" s="260" t="s">
        <v>1275</v>
      </c>
      <c r="C29" s="70"/>
      <c r="D29" s="70"/>
      <c r="E29" s="73"/>
      <c r="F29" s="531"/>
      <c r="G29" s="532"/>
      <c r="H29" s="70"/>
      <c r="I29" s="196"/>
      <c r="J29" s="123"/>
      <c r="K29" s="72"/>
      <c r="L29" s="306"/>
      <c r="M29" s="72"/>
      <c r="N29" s="123"/>
    </row>
    <row r="30" spans="1:14" s="251" customFormat="1" x14ac:dyDescent="0.25">
      <c r="A30" s="259" t="s">
        <v>68</v>
      </c>
      <c r="B30" s="260" t="s">
        <v>1275</v>
      </c>
      <c r="C30" s="70"/>
      <c r="D30" s="70"/>
      <c r="E30" s="73"/>
      <c r="F30" s="531"/>
      <c r="G30" s="532"/>
      <c r="H30" s="70"/>
      <c r="I30" s="196"/>
      <c r="J30" s="123"/>
      <c r="K30" s="72"/>
      <c r="L30" s="306"/>
      <c r="M30" s="72"/>
      <c r="N30" s="123"/>
    </row>
    <row r="31" spans="1:14" s="251" customFormat="1" x14ac:dyDescent="0.25">
      <c r="A31" s="259" t="s">
        <v>69</v>
      </c>
      <c r="B31" s="260" t="s">
        <v>1275</v>
      </c>
      <c r="C31" s="70"/>
      <c r="D31" s="70"/>
      <c r="E31" s="73"/>
      <c r="F31" s="531"/>
      <c r="G31" s="532"/>
      <c r="H31" s="70"/>
      <c r="I31" s="196"/>
      <c r="J31" s="123"/>
      <c r="K31" s="72"/>
      <c r="L31" s="306"/>
      <c r="M31" s="72"/>
      <c r="N31" s="123"/>
    </row>
    <row r="32" spans="1:14" s="251" customFormat="1" x14ac:dyDescent="0.25">
      <c r="A32" s="259" t="s">
        <v>70</v>
      </c>
      <c r="B32" s="260" t="s">
        <v>1275</v>
      </c>
      <c r="C32" s="70"/>
      <c r="D32" s="70"/>
      <c r="E32" s="73"/>
      <c r="F32" s="531"/>
      <c r="G32" s="532"/>
      <c r="H32" s="70"/>
      <c r="I32" s="196"/>
      <c r="J32" s="123"/>
      <c r="K32" s="72"/>
      <c r="L32" s="306"/>
      <c r="M32" s="72"/>
      <c r="N32" s="123"/>
    </row>
    <row r="33" spans="1:14" s="251" customFormat="1" x14ac:dyDescent="0.25">
      <c r="A33" s="259" t="s">
        <v>85</v>
      </c>
      <c r="B33" s="260" t="s">
        <v>1275</v>
      </c>
      <c r="C33" s="70"/>
      <c r="D33" s="70"/>
      <c r="E33" s="73"/>
      <c r="F33" s="531"/>
      <c r="G33" s="532"/>
      <c r="H33" s="70"/>
      <c r="I33" s="196"/>
      <c r="J33" s="123"/>
      <c r="K33" s="72"/>
      <c r="L33" s="306"/>
      <c r="M33" s="72"/>
      <c r="N33" s="123"/>
    </row>
    <row r="34" spans="1:14" s="251" customFormat="1" x14ac:dyDescent="0.25">
      <c r="A34" s="259" t="s">
        <v>86</v>
      </c>
      <c r="B34" s="260" t="s">
        <v>1275</v>
      </c>
      <c r="C34" s="70"/>
      <c r="D34" s="70"/>
      <c r="E34" s="73"/>
      <c r="F34" s="531"/>
      <c r="G34" s="532"/>
      <c r="H34" s="70"/>
      <c r="I34" s="196"/>
      <c r="J34" s="123"/>
      <c r="K34" s="72"/>
      <c r="L34" s="306"/>
      <c r="M34" s="72"/>
      <c r="N34" s="123"/>
    </row>
    <row r="35" spans="1:14" s="251" customFormat="1" x14ac:dyDescent="0.25">
      <c r="A35" s="259" t="s">
        <v>71</v>
      </c>
      <c r="B35" s="260" t="s">
        <v>1275</v>
      </c>
      <c r="C35" s="70"/>
      <c r="D35" s="70"/>
      <c r="E35" s="73"/>
      <c r="F35" s="531"/>
      <c r="G35" s="532"/>
      <c r="H35" s="70"/>
      <c r="I35" s="196"/>
      <c r="J35" s="123"/>
      <c r="K35" s="72"/>
      <c r="L35" s="306"/>
      <c r="M35" s="72"/>
      <c r="N35" s="123"/>
    </row>
    <row r="36" spans="1:14" s="251" customFormat="1" x14ac:dyDescent="0.25">
      <c r="A36" s="65" t="s">
        <v>72</v>
      </c>
      <c r="B36" s="260" t="s">
        <v>1275</v>
      </c>
      <c r="C36" s="70"/>
      <c r="D36" s="70"/>
      <c r="E36" s="73"/>
      <c r="F36" s="531"/>
      <c r="G36" s="532"/>
      <c r="H36" s="70"/>
      <c r="I36" s="196"/>
      <c r="J36" s="123"/>
      <c r="K36" s="72"/>
      <c r="L36" s="306"/>
      <c r="M36" s="72"/>
      <c r="N36" s="123"/>
    </row>
    <row r="37" spans="1:14" s="251" customFormat="1" x14ac:dyDescent="0.25">
      <c r="A37" s="18" t="s">
        <v>187</v>
      </c>
      <c r="B37" s="260" t="s">
        <v>1447</v>
      </c>
      <c r="C37" s="70"/>
      <c r="D37" s="70"/>
      <c r="E37" s="73"/>
      <c r="F37" s="531"/>
      <c r="G37" s="532"/>
      <c r="H37" s="70"/>
      <c r="I37" s="196"/>
      <c r="J37" s="123"/>
      <c r="K37" s="72"/>
      <c r="L37" s="306"/>
      <c r="M37" s="72"/>
      <c r="N37" s="123"/>
    </row>
    <row r="38" spans="1:14" s="251" customFormat="1" x14ac:dyDescent="0.25">
      <c r="A38" s="65" t="s">
        <v>73</v>
      </c>
      <c r="B38" s="260" t="s">
        <v>1275</v>
      </c>
      <c r="C38" s="70"/>
      <c r="D38" s="70"/>
      <c r="E38" s="73"/>
      <c r="F38" s="531"/>
      <c r="G38" s="532"/>
      <c r="H38" s="70"/>
      <c r="I38" s="196"/>
      <c r="J38" s="123"/>
      <c r="K38" s="72"/>
      <c r="L38" s="306"/>
      <c r="M38" s="72"/>
      <c r="N38" s="123"/>
    </row>
    <row r="39" spans="1:14" s="251" customFormat="1" x14ac:dyDescent="0.25">
      <c r="A39" s="18" t="s">
        <v>244</v>
      </c>
      <c r="B39" s="260" t="s">
        <v>1275</v>
      </c>
      <c r="C39" s="70"/>
      <c r="D39" s="70"/>
      <c r="E39" s="73"/>
      <c r="F39" s="531"/>
      <c r="G39" s="532"/>
      <c r="H39" s="70"/>
      <c r="I39" s="196"/>
      <c r="J39" s="123"/>
      <c r="K39" s="72"/>
      <c r="L39" s="306"/>
      <c r="M39" s="72"/>
      <c r="N39" s="123"/>
    </row>
    <row r="40" spans="1:14" ht="91.2" x14ac:dyDescent="0.25">
      <c r="A40" s="241" t="s">
        <v>74</v>
      </c>
      <c r="B40" s="39" t="s">
        <v>1184</v>
      </c>
      <c r="C40" s="188" t="s">
        <v>592</v>
      </c>
      <c r="D40" s="188" t="s">
        <v>104</v>
      </c>
      <c r="E40" s="189" t="s">
        <v>1185</v>
      </c>
      <c r="F40" s="188" t="s">
        <v>623</v>
      </c>
      <c r="G40" s="242">
        <v>0.8</v>
      </c>
      <c r="H40" s="189" t="str">
        <f>"Social support index (Indexante dos Apoios Sociais (IAS): EUR 438.81/month, "&amp;TEXT(100*438.81*12/'Average wages'!B30,0)&amp;"% of AW)"</f>
        <v>Social support index (Indexante dos Apoios Sociais (IAS): EUR 438.81/month, 27% of AW)</v>
      </c>
      <c r="I40" s="200" t="s">
        <v>95</v>
      </c>
      <c r="J40" s="190" t="str">
        <f>"Flat rate of "&amp;TEXT(100*0.8*438.81*12/'Average wages'!B30,0)&amp;"%"</f>
        <v>Flat rate of 22%</v>
      </c>
      <c r="K40" s="201" t="s">
        <v>113</v>
      </c>
      <c r="L40" s="200" t="s">
        <v>188</v>
      </c>
      <c r="M40" s="201" t="s">
        <v>785</v>
      </c>
      <c r="N40" s="190" t="s">
        <v>95</v>
      </c>
    </row>
    <row r="41" spans="1:14" x14ac:dyDescent="0.25">
      <c r="A41" s="65" t="s">
        <v>75</v>
      </c>
      <c r="B41" s="260" t="s">
        <v>1275</v>
      </c>
      <c r="C41" s="36"/>
      <c r="D41" s="36"/>
      <c r="E41" s="191"/>
      <c r="F41" s="70"/>
      <c r="G41" s="137"/>
      <c r="H41" s="70"/>
      <c r="I41" s="37"/>
      <c r="J41" s="20"/>
      <c r="K41" s="19"/>
      <c r="L41" s="37"/>
      <c r="M41" s="19"/>
      <c r="N41" s="20"/>
    </row>
    <row r="42" spans="1:14" s="251" customFormat="1" x14ac:dyDescent="0.25">
      <c r="A42" s="18" t="s">
        <v>76</v>
      </c>
      <c r="B42" s="260" t="s">
        <v>1275</v>
      </c>
      <c r="C42" s="70"/>
      <c r="D42" s="70"/>
      <c r="E42" s="73"/>
      <c r="F42" s="531"/>
      <c r="G42" s="532"/>
      <c r="H42" s="70"/>
      <c r="I42" s="196"/>
      <c r="J42" s="123"/>
      <c r="K42" s="72"/>
      <c r="L42" s="306"/>
      <c r="M42" s="72"/>
      <c r="N42" s="123"/>
    </row>
    <row r="43" spans="1:14" ht="216.6" x14ac:dyDescent="0.25">
      <c r="A43" s="241" t="s">
        <v>1397</v>
      </c>
      <c r="B43" s="39" t="s">
        <v>776</v>
      </c>
      <c r="C43" s="188" t="s">
        <v>1202</v>
      </c>
      <c r="D43" s="188" t="s">
        <v>751</v>
      </c>
      <c r="E43" s="189">
        <v>6</v>
      </c>
      <c r="F43" s="586">
        <v>0.8</v>
      </c>
      <c r="G43" s="603"/>
      <c r="H43" s="189" t="str">
        <f>"IPREM (Indicador Público de Renta de Efectos Múltiples), EUR 537.84/month ("&amp;TEXT(537.84*12/'Average wages'!B33,"0%")&amp;" of AW)"</f>
        <v>IPREM (Indicador Público de Renta de Efectos Múltiples), EUR 537.84/month (24% of AW)</v>
      </c>
      <c r="I43" s="200" t="s">
        <v>95</v>
      </c>
      <c r="J43" s="190" t="str">
        <f>"Flat rate of "&amp;TEXT(537.84*0.8*12/'Average wages'!B33,"0%")</f>
        <v>Flat rate of 19%</v>
      </c>
      <c r="K43" s="201" t="str">
        <f>"The benefit is reduced in the same proportion as the number of daily working hours. Benefit fully withdrawn if earnings above 75% of the minimum wage ("&amp;TEXT(950*0.75*12/'Average wages'!B33,"0%")&amp;" of the average wage)"</f>
        <v>The benefit is reduced in the same proportion as the number of daily working hours. Benefit fully withdrawn if earnings above 75% of the minimum wage (32% of the average wage)</v>
      </c>
      <c r="L43" s="200" t="s">
        <v>1203</v>
      </c>
      <c r="M43" s="201" t="s">
        <v>1204</v>
      </c>
      <c r="N43" s="190" t="s">
        <v>1205</v>
      </c>
    </row>
    <row r="44" spans="1:14" ht="102.6" x14ac:dyDescent="0.25">
      <c r="A44" s="65" t="s">
        <v>1397</v>
      </c>
      <c r="B44" s="310" t="s">
        <v>1206</v>
      </c>
      <c r="C44" s="188" t="s">
        <v>777</v>
      </c>
      <c r="D44" s="188" t="s">
        <v>104</v>
      </c>
      <c r="E44" s="189">
        <v>11</v>
      </c>
      <c r="F44" s="586">
        <v>0.8</v>
      </c>
      <c r="G44" s="603"/>
      <c r="H44" s="189" t="str">
        <f>H43</f>
        <v>IPREM (Indicador Público de Renta de Efectos Múltiples), EUR 537.84/month (24% of AW)</v>
      </c>
      <c r="I44" s="201" t="s">
        <v>95</v>
      </c>
      <c r="J44" s="190" t="str">
        <f>J43</f>
        <v>Flat rate of 19%</v>
      </c>
      <c r="K44" s="201" t="str">
        <f>K43</f>
        <v>The benefit is reduced in the same proportion as the number of daily working hours. Benefit fully withdrawn if earnings above 75% of the minimum wage (32% of the average wage)</v>
      </c>
      <c r="L44" s="200" t="s">
        <v>786</v>
      </c>
      <c r="M44" s="201" t="s">
        <v>95</v>
      </c>
      <c r="N44" s="190" t="s">
        <v>95</v>
      </c>
    </row>
    <row r="45" spans="1:14" ht="102.6" x14ac:dyDescent="0.25">
      <c r="A45" s="65" t="s">
        <v>1429</v>
      </c>
      <c r="B45" s="310" t="s">
        <v>1232</v>
      </c>
      <c r="C45" s="188" t="s">
        <v>1207</v>
      </c>
      <c r="D45" s="188" t="s">
        <v>104</v>
      </c>
      <c r="E45" s="189">
        <v>6</v>
      </c>
      <c r="F45" s="586">
        <v>0.8</v>
      </c>
      <c r="G45" s="603"/>
      <c r="H45" s="189" t="str">
        <f>H44</f>
        <v>IPREM (Indicador Público de Renta de Efectos Múltiples), EUR 537.84/month (24% of AW)</v>
      </c>
      <c r="I45" s="201" t="s">
        <v>95</v>
      </c>
      <c r="J45" s="190" t="str">
        <f>J43</f>
        <v>Flat rate of 19%</v>
      </c>
      <c r="K45" s="201" t="str">
        <f>K43</f>
        <v>The benefit is reduced in the same proportion as the number of daily working hours. Benefit fully withdrawn if earnings above 75% of the minimum wage (32% of the average wage)</v>
      </c>
      <c r="L45" s="200" t="s">
        <v>95</v>
      </c>
      <c r="M45" s="201" t="s">
        <v>95</v>
      </c>
      <c r="N45" s="190" t="s">
        <v>95</v>
      </c>
    </row>
    <row r="46" spans="1:14" ht="57" x14ac:dyDescent="0.25">
      <c r="A46" s="18" t="s">
        <v>78</v>
      </c>
      <c r="B46" s="39" t="s">
        <v>685</v>
      </c>
      <c r="C46" s="188" t="s">
        <v>686</v>
      </c>
      <c r="D46" s="188">
        <v>6</v>
      </c>
      <c r="E46" s="41" t="s">
        <v>958</v>
      </c>
      <c r="F46" s="586" t="s">
        <v>780</v>
      </c>
      <c r="G46" s="603"/>
      <c r="H46" s="188" t="s">
        <v>95</v>
      </c>
      <c r="I46" s="200" t="s">
        <v>95</v>
      </c>
      <c r="J46" s="190" t="str">
        <f>"Flat rate of "&amp;TEXT(94900/'Average wages'!B34,"0%")</f>
        <v>Flat rate of 20%</v>
      </c>
      <c r="K46" s="201" t="s">
        <v>959</v>
      </c>
      <c r="L46" s="200" t="s">
        <v>781</v>
      </c>
      <c r="M46" s="201" t="s">
        <v>687</v>
      </c>
      <c r="N46" s="190" t="s">
        <v>189</v>
      </c>
    </row>
    <row r="47" spans="1:14" x14ac:dyDescent="0.25">
      <c r="A47" s="65" t="s">
        <v>79</v>
      </c>
      <c r="B47" s="260" t="s">
        <v>1275</v>
      </c>
      <c r="C47" s="70"/>
      <c r="D47" s="70"/>
      <c r="E47" s="285"/>
      <c r="F47" s="533"/>
      <c r="G47" s="534"/>
      <c r="H47" s="70"/>
      <c r="I47" s="196"/>
      <c r="J47" s="123"/>
      <c r="K47" s="72"/>
      <c r="L47" s="196"/>
      <c r="M47" s="72"/>
      <c r="N47" s="123"/>
    </row>
    <row r="48" spans="1:14" x14ac:dyDescent="0.25">
      <c r="A48" s="65" t="s">
        <v>80</v>
      </c>
      <c r="B48" s="260" t="s">
        <v>1275</v>
      </c>
      <c r="C48" s="70"/>
      <c r="D48" s="70"/>
      <c r="E48" s="285"/>
      <c r="F48" s="533"/>
      <c r="G48" s="534"/>
      <c r="H48" s="70"/>
      <c r="I48" s="196"/>
      <c r="J48" s="123"/>
      <c r="K48" s="72"/>
      <c r="L48" s="196"/>
      <c r="M48" s="72"/>
      <c r="N48" s="123"/>
    </row>
    <row r="49" spans="1:16" ht="57" x14ac:dyDescent="0.25">
      <c r="A49" s="258" t="s">
        <v>81</v>
      </c>
      <c r="B49" s="260" t="s">
        <v>1214</v>
      </c>
      <c r="C49" s="70" t="s">
        <v>123</v>
      </c>
      <c r="D49" s="70" t="s">
        <v>123</v>
      </c>
      <c r="E49" s="73" t="s">
        <v>179</v>
      </c>
      <c r="F49" s="606" t="s">
        <v>1215</v>
      </c>
      <c r="G49" s="607"/>
      <c r="H49" s="70" t="s">
        <v>95</v>
      </c>
      <c r="I49" s="196" t="s">
        <v>95</v>
      </c>
      <c r="J49" s="262" t="str">
        <f>"Flat rate of "&amp;TEXT(409.89*12*100/'Average wages'!B37,0)&amp;"%"</f>
        <v>Flat rate of 12%</v>
      </c>
      <c r="K49" s="72" t="s">
        <v>1216</v>
      </c>
      <c r="L49" s="196" t="s">
        <v>1217</v>
      </c>
      <c r="M49" s="72" t="s">
        <v>1218</v>
      </c>
      <c r="N49" s="123" t="s">
        <v>1219</v>
      </c>
    </row>
    <row r="50" spans="1:16" x14ac:dyDescent="0.25">
      <c r="A50" s="65" t="s">
        <v>316</v>
      </c>
      <c r="B50" s="39" t="s">
        <v>1275</v>
      </c>
      <c r="C50" s="188"/>
      <c r="D50" s="188"/>
      <c r="E50" s="41"/>
      <c r="F50" s="531"/>
      <c r="G50" s="532"/>
      <c r="H50" s="188"/>
      <c r="I50" s="200"/>
      <c r="J50" s="190"/>
      <c r="K50" s="201"/>
      <c r="L50" s="200"/>
      <c r="M50" s="201"/>
      <c r="N50" s="190"/>
    </row>
    <row r="51" spans="1:16" s="22" customFormat="1" x14ac:dyDescent="0.25">
      <c r="A51" s="21" t="s">
        <v>1149</v>
      </c>
      <c r="B51" s="29"/>
      <c r="C51" s="29"/>
      <c r="D51" s="29"/>
      <c r="E51" s="29"/>
      <c r="F51" s="29"/>
      <c r="G51" s="29"/>
      <c r="H51" s="29"/>
      <c r="I51" s="29"/>
      <c r="J51" s="29"/>
      <c r="K51" s="29"/>
      <c r="L51" s="193"/>
      <c r="M51" s="29"/>
      <c r="N51" s="34"/>
      <c r="O51" s="29"/>
      <c r="P51" s="29"/>
    </row>
    <row r="52" spans="1:16" x14ac:dyDescent="0.25">
      <c r="A52" s="65" t="s">
        <v>83</v>
      </c>
      <c r="B52" s="260" t="s">
        <v>1275</v>
      </c>
      <c r="C52" s="70"/>
      <c r="D52" s="70"/>
      <c r="E52" s="285"/>
      <c r="F52" s="533"/>
      <c r="G52" s="534"/>
      <c r="H52" s="70"/>
      <c r="I52" s="196"/>
      <c r="J52" s="123"/>
      <c r="K52" s="72"/>
      <c r="L52" s="196"/>
      <c r="M52" s="72"/>
      <c r="N52" s="123"/>
    </row>
    <row r="53" spans="1:16" x14ac:dyDescent="0.25">
      <c r="A53" s="65" t="s">
        <v>84</v>
      </c>
      <c r="B53" s="260" t="s">
        <v>1275</v>
      </c>
      <c r="C53" s="70"/>
      <c r="D53" s="70"/>
      <c r="E53" s="285"/>
      <c r="F53" s="533"/>
      <c r="G53" s="534"/>
      <c r="H53" s="70"/>
      <c r="I53" s="196"/>
      <c r="J53" s="123"/>
      <c r="K53" s="72"/>
      <c r="L53" s="196"/>
      <c r="M53" s="72"/>
      <c r="N53" s="123"/>
    </row>
    <row r="54" spans="1:16" x14ac:dyDescent="0.25">
      <c r="A54" s="65" t="s">
        <v>585</v>
      </c>
      <c r="B54" s="260" t="s">
        <v>1275</v>
      </c>
      <c r="C54" s="70"/>
      <c r="D54" s="70"/>
      <c r="E54" s="285"/>
      <c r="F54" s="533"/>
      <c r="G54" s="534"/>
      <c r="H54" s="70"/>
      <c r="I54" s="196"/>
      <c r="J54" s="123"/>
      <c r="K54" s="72"/>
      <c r="L54" s="196"/>
      <c r="M54" s="72"/>
      <c r="N54" s="123"/>
    </row>
    <row r="55" spans="1:16" ht="22.8" x14ac:dyDescent="0.25">
      <c r="A55" s="65" t="s">
        <v>192</v>
      </c>
      <c r="B55" s="260" t="s">
        <v>1446</v>
      </c>
      <c r="C55" s="70"/>
      <c r="D55" s="70"/>
      <c r="E55" s="285"/>
      <c r="F55" s="533"/>
      <c r="G55" s="534"/>
      <c r="H55" s="70"/>
      <c r="I55" s="196"/>
      <c r="J55" s="123"/>
      <c r="K55" s="72"/>
      <c r="L55" s="196"/>
      <c r="M55" s="72"/>
      <c r="N55" s="123"/>
    </row>
    <row r="56" spans="1:16" x14ac:dyDescent="0.25">
      <c r="A56" s="65" t="s">
        <v>87</v>
      </c>
      <c r="B56" s="39" t="s">
        <v>1275</v>
      </c>
      <c r="C56" s="188"/>
      <c r="D56" s="188"/>
      <c r="E56" s="41"/>
      <c r="F56" s="531"/>
      <c r="G56" s="532"/>
      <c r="H56" s="188"/>
      <c r="I56" s="200"/>
      <c r="J56" s="190"/>
      <c r="K56" s="201"/>
      <c r="L56" s="200"/>
      <c r="M56" s="201"/>
      <c r="N56" s="190"/>
    </row>
    <row r="58" spans="1:16" x14ac:dyDescent="0.25">
      <c r="A58" s="124" t="s">
        <v>88</v>
      </c>
      <c r="B58" s="124"/>
      <c r="C58" s="124"/>
    </row>
    <row r="59" spans="1:16" x14ac:dyDescent="0.25">
      <c r="A59" s="124" t="s">
        <v>195</v>
      </c>
      <c r="B59" s="124"/>
      <c r="C59" s="124"/>
    </row>
    <row r="60" spans="1:16" x14ac:dyDescent="0.25">
      <c r="A60" s="124" t="s">
        <v>193</v>
      </c>
      <c r="B60" s="124"/>
      <c r="C60" s="124"/>
    </row>
    <row r="61" spans="1:16" x14ac:dyDescent="0.25">
      <c r="A61" s="124" t="s">
        <v>194</v>
      </c>
      <c r="B61" s="124"/>
      <c r="C61" s="124"/>
    </row>
    <row r="62" spans="1:16" x14ac:dyDescent="0.25">
      <c r="A62" s="124" t="s">
        <v>1426</v>
      </c>
      <c r="B62" s="124"/>
      <c r="C62" s="124"/>
    </row>
    <row r="63" spans="1:16" x14ac:dyDescent="0.25">
      <c r="A63" s="124" t="s">
        <v>1427</v>
      </c>
      <c r="B63" s="124"/>
      <c r="C63" s="124"/>
    </row>
    <row r="64" spans="1:16" x14ac:dyDescent="0.25">
      <c r="A64" s="124" t="s">
        <v>1428</v>
      </c>
      <c r="B64" s="124"/>
      <c r="C64" s="124"/>
    </row>
    <row r="65" spans="1:3" x14ac:dyDescent="0.25">
      <c r="A65" s="124"/>
      <c r="B65" s="124"/>
      <c r="C65" s="124"/>
    </row>
    <row r="66" spans="1:3" x14ac:dyDescent="0.25">
      <c r="A66" s="124" t="s">
        <v>139</v>
      </c>
      <c r="B66" s="264" t="s">
        <v>6</v>
      </c>
      <c r="C66" s="124"/>
    </row>
    <row r="67" spans="1:3" x14ac:dyDescent="0.25">
      <c r="A67" s="124"/>
      <c r="B67" s="124"/>
      <c r="C67" s="124"/>
    </row>
  </sheetData>
  <autoFilter ref="A11:A56" xr:uid="{00000000-0009-0000-0000-000002000000}"/>
  <mergeCells count="27">
    <mergeCell ref="F43:G43"/>
    <mergeCell ref="F49:G49"/>
    <mergeCell ref="F44:G44"/>
    <mergeCell ref="F45:G45"/>
    <mergeCell ref="F46:G46"/>
    <mergeCell ref="F22:G22"/>
    <mergeCell ref="F28:G28"/>
    <mergeCell ref="L7:N8"/>
    <mergeCell ref="F12:G12"/>
    <mergeCell ref="F23:G23"/>
    <mergeCell ref="F24:G24"/>
    <mergeCell ref="F25:G25"/>
    <mergeCell ref="F19:G19"/>
    <mergeCell ref="F20:G20"/>
    <mergeCell ref="F21:G21"/>
    <mergeCell ref="A1:N1"/>
    <mergeCell ref="A2:N2"/>
    <mergeCell ref="A3:N3"/>
    <mergeCell ref="B7:B9"/>
    <mergeCell ref="C7:C9"/>
    <mergeCell ref="D7:D9"/>
    <mergeCell ref="E7:E9"/>
    <mergeCell ref="F7:K7"/>
    <mergeCell ref="F8:F9"/>
    <mergeCell ref="G8:G9"/>
    <mergeCell ref="H8:H9"/>
    <mergeCell ref="K8:K9"/>
  </mergeCells>
  <hyperlinks>
    <hyperlink ref="B66" r:id="rId1" xr:uid="{00000000-0004-0000-02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67"/>
  <sheetViews>
    <sheetView zoomScale="70" zoomScaleNormal="70" workbookViewId="0">
      <pane xSplit="1" ySplit="10" topLeftCell="B11" activePane="bottomRight" state="frozen"/>
      <selection activeCell="J15" sqref="J15"/>
      <selection pane="topRight" activeCell="J15" sqref="J15"/>
      <selection pane="bottomLeft" activeCell="J15" sqref="J15"/>
      <selection pane="bottomRight" sqref="A1:V1"/>
    </sheetView>
  </sheetViews>
  <sheetFormatPr defaultColWidth="8.6640625" defaultRowHeight="13.2" x14ac:dyDescent="0.25"/>
  <cols>
    <col min="1" max="1" width="18.88671875" style="23" bestFit="1" customWidth="1"/>
    <col min="2" max="2" width="18.88671875" style="23" customWidth="1"/>
    <col min="3" max="3" width="18.109375" style="23" customWidth="1"/>
    <col min="4" max="4" width="20.88671875" style="23" customWidth="1"/>
    <col min="5" max="5" width="13.44140625" style="23" customWidth="1"/>
    <col min="6" max="6" width="14" style="23" customWidth="1"/>
    <col min="7" max="7" width="11.109375" style="23" customWidth="1"/>
    <col min="8" max="8" width="12.44140625" style="23" customWidth="1"/>
    <col min="9" max="9" width="18" style="23" bestFit="1" customWidth="1"/>
    <col min="10" max="10" width="18.44140625" style="23" bestFit="1" customWidth="1"/>
    <col min="11" max="11" width="12.88671875" style="23" customWidth="1"/>
    <col min="12" max="12" width="10" style="23" customWidth="1"/>
    <col min="13" max="13" width="14.5546875" style="23" bestFit="1" customWidth="1"/>
    <col min="14" max="14" width="11" style="23" bestFit="1" customWidth="1"/>
    <col min="15" max="15" width="24" style="23" customWidth="1"/>
    <col min="16" max="16" width="29.88671875" style="23" customWidth="1"/>
    <col min="17" max="17" width="26.5546875" style="23" bestFit="1" customWidth="1"/>
    <col min="18" max="18" width="36.88671875" style="23" bestFit="1" customWidth="1"/>
    <col min="19" max="19" width="24.88671875" style="23" bestFit="1" customWidth="1"/>
    <col min="20" max="20" width="28.109375" style="23" bestFit="1" customWidth="1"/>
    <col min="21" max="21" width="24.44140625" style="23" customWidth="1"/>
    <col min="22" max="22" width="19.109375" style="23" bestFit="1" customWidth="1"/>
    <col min="23" max="16384" width="8.6640625" style="23"/>
  </cols>
  <sheetData>
    <row r="1" spans="1:22" ht="17.399999999999999" x14ac:dyDescent="0.25">
      <c r="A1" s="609" t="s">
        <v>196</v>
      </c>
      <c r="B1" s="609"/>
      <c r="C1" s="609"/>
      <c r="D1" s="609"/>
      <c r="E1" s="609"/>
      <c r="F1" s="609"/>
      <c r="G1" s="609"/>
      <c r="H1" s="609"/>
      <c r="I1" s="609"/>
      <c r="J1" s="609"/>
      <c r="K1" s="609"/>
      <c r="L1" s="609"/>
      <c r="M1" s="609"/>
      <c r="N1" s="609"/>
      <c r="O1" s="609"/>
      <c r="P1" s="609"/>
      <c r="Q1" s="609"/>
      <c r="R1" s="609"/>
      <c r="S1" s="609"/>
      <c r="T1" s="609"/>
      <c r="U1" s="609"/>
      <c r="V1" s="609"/>
    </row>
    <row r="2" spans="1:22" ht="17.399999999999999" x14ac:dyDescent="0.25">
      <c r="A2" s="609">
        <v>2020</v>
      </c>
      <c r="B2" s="609"/>
      <c r="C2" s="609"/>
      <c r="D2" s="609"/>
      <c r="E2" s="609"/>
      <c r="F2" s="609"/>
      <c r="G2" s="609"/>
      <c r="H2" s="609"/>
      <c r="I2" s="609"/>
      <c r="J2" s="609"/>
      <c r="K2" s="609"/>
      <c r="L2" s="609"/>
      <c r="M2" s="609"/>
      <c r="N2" s="609"/>
      <c r="O2" s="609"/>
      <c r="P2" s="609"/>
      <c r="Q2" s="609"/>
      <c r="R2" s="609"/>
      <c r="S2" s="609"/>
      <c r="T2" s="609"/>
      <c r="U2" s="609"/>
      <c r="V2" s="609"/>
    </row>
    <row r="3" spans="1:22" ht="17.100000000000001" customHeight="1" x14ac:dyDescent="0.25">
      <c r="A3" s="627" t="s">
        <v>1398</v>
      </c>
      <c r="B3" s="627"/>
      <c r="C3" s="627"/>
      <c r="D3" s="627"/>
      <c r="E3" s="627"/>
      <c r="F3" s="627"/>
      <c r="G3" s="627"/>
      <c r="H3" s="627"/>
      <c r="I3" s="627"/>
      <c r="J3" s="627"/>
      <c r="K3" s="627"/>
      <c r="L3" s="627"/>
      <c r="M3" s="627"/>
      <c r="N3" s="627"/>
      <c r="O3" s="627"/>
      <c r="P3" s="627"/>
      <c r="Q3" s="627"/>
      <c r="R3" s="627"/>
      <c r="S3" s="627"/>
      <c r="T3" s="627"/>
      <c r="U3" s="627"/>
      <c r="V3" s="627"/>
    </row>
    <row r="4" spans="1:22" ht="12.6" customHeight="1" x14ac:dyDescent="0.25">
      <c r="A4" s="545"/>
      <c r="B4" s="545"/>
      <c r="C4" s="545"/>
      <c r="D4" s="545"/>
      <c r="E4" s="545"/>
      <c r="F4" s="545"/>
      <c r="G4" s="545"/>
      <c r="H4" s="545"/>
      <c r="I4" s="545"/>
      <c r="J4" s="545"/>
      <c r="K4" s="545"/>
      <c r="L4" s="545"/>
      <c r="M4" s="545"/>
      <c r="N4" s="545"/>
      <c r="O4" s="545"/>
      <c r="P4" s="545"/>
      <c r="Q4" s="545"/>
      <c r="R4" s="545"/>
      <c r="S4" s="545"/>
      <c r="T4" s="545"/>
      <c r="U4" s="545"/>
      <c r="V4" s="545"/>
    </row>
    <row r="5" spans="1:22" ht="12.6" hidden="1" customHeight="1" x14ac:dyDescent="0.25">
      <c r="A5" s="28" t="s">
        <v>5</v>
      </c>
      <c r="B5" s="28"/>
      <c r="C5" s="28" t="s">
        <v>8</v>
      </c>
      <c r="D5" s="28" t="s">
        <v>8</v>
      </c>
      <c r="E5" s="28" t="s">
        <v>8</v>
      </c>
      <c r="F5" s="28" t="s">
        <v>8</v>
      </c>
      <c r="G5" s="28" t="s">
        <v>8</v>
      </c>
      <c r="H5" s="28" t="s">
        <v>8</v>
      </c>
      <c r="I5" s="28" t="s">
        <v>8</v>
      </c>
      <c r="J5" s="28" t="s">
        <v>8</v>
      </c>
      <c r="K5" s="28" t="s">
        <v>8</v>
      </c>
      <c r="L5" s="28" t="s">
        <v>197</v>
      </c>
      <c r="M5" s="28" t="s">
        <v>197</v>
      </c>
      <c r="N5" s="28" t="s">
        <v>197</v>
      </c>
      <c r="O5" s="28" t="s">
        <v>197</v>
      </c>
      <c r="P5" s="28" t="s">
        <v>8</v>
      </c>
      <c r="Q5" s="28" t="s">
        <v>8</v>
      </c>
      <c r="R5" s="28" t="s">
        <v>8</v>
      </c>
      <c r="S5" s="28" t="s">
        <v>8</v>
      </c>
      <c r="T5" s="28" t="s">
        <v>8</v>
      </c>
      <c r="U5" s="54" t="s">
        <v>8</v>
      </c>
      <c r="V5" s="54" t="s">
        <v>8</v>
      </c>
    </row>
    <row r="6" spans="1:22" hidden="1" x14ac:dyDescent="0.25">
      <c r="A6" s="55" t="s">
        <v>10</v>
      </c>
      <c r="B6" s="28"/>
      <c r="C6" s="31" t="s">
        <v>198</v>
      </c>
      <c r="D6" s="31" t="s">
        <v>199</v>
      </c>
      <c r="E6" s="31" t="s">
        <v>200</v>
      </c>
      <c r="F6" s="31" t="s">
        <v>201</v>
      </c>
      <c r="G6" s="31" t="s">
        <v>202</v>
      </c>
      <c r="H6" s="31" t="s">
        <v>203</v>
      </c>
      <c r="I6" s="31" t="s">
        <v>204</v>
      </c>
      <c r="J6" s="31" t="s">
        <v>205</v>
      </c>
      <c r="K6" s="31" t="s">
        <v>206</v>
      </c>
      <c r="L6" s="29"/>
      <c r="M6" s="29"/>
      <c r="N6" s="29"/>
      <c r="O6" s="29"/>
      <c r="P6" s="31" t="s">
        <v>207</v>
      </c>
      <c r="Q6" s="31" t="s">
        <v>208</v>
      </c>
      <c r="R6" s="31" t="s">
        <v>209</v>
      </c>
      <c r="S6" s="31" t="s">
        <v>210</v>
      </c>
      <c r="T6" s="31" t="s">
        <v>211</v>
      </c>
      <c r="U6" s="9" t="s">
        <v>212</v>
      </c>
      <c r="V6" s="9" t="s">
        <v>213</v>
      </c>
    </row>
    <row r="7" spans="1:22" ht="12.75" customHeight="1" x14ac:dyDescent="0.25">
      <c r="A7" s="157"/>
      <c r="B7" s="610" t="s">
        <v>1006</v>
      </c>
      <c r="C7" s="610" t="s">
        <v>173</v>
      </c>
      <c r="D7" s="610" t="s">
        <v>214</v>
      </c>
      <c r="E7" s="612" t="s">
        <v>1005</v>
      </c>
      <c r="F7" s="613"/>
      <c r="G7" s="613"/>
      <c r="H7" s="613"/>
      <c r="I7" s="613"/>
      <c r="J7" s="614"/>
      <c r="K7" s="618" t="s">
        <v>215</v>
      </c>
      <c r="L7" s="619"/>
      <c r="M7" s="619"/>
      <c r="N7" s="619"/>
      <c r="O7" s="619"/>
      <c r="P7" s="619"/>
      <c r="Q7" s="619"/>
      <c r="R7" s="619"/>
      <c r="S7" s="620"/>
      <c r="T7" s="595" t="s">
        <v>175</v>
      </c>
      <c r="U7" s="597"/>
      <c r="V7" s="599"/>
    </row>
    <row r="8" spans="1:22" x14ac:dyDescent="0.25">
      <c r="A8" s="34"/>
      <c r="B8" s="611"/>
      <c r="C8" s="611"/>
      <c r="D8" s="611"/>
      <c r="E8" s="615"/>
      <c r="F8" s="616"/>
      <c r="G8" s="616"/>
      <c r="H8" s="616"/>
      <c r="I8" s="616"/>
      <c r="J8" s="617"/>
      <c r="K8" s="612" t="s">
        <v>287</v>
      </c>
      <c r="L8" s="613"/>
      <c r="M8" s="613"/>
      <c r="N8" s="613"/>
      <c r="O8" s="613"/>
      <c r="P8" s="624" t="s">
        <v>216</v>
      </c>
      <c r="Q8" s="625"/>
      <c r="R8" s="625"/>
      <c r="S8" s="626"/>
      <c r="T8" s="621"/>
      <c r="U8" s="622"/>
      <c r="V8" s="623"/>
    </row>
    <row r="9" spans="1:22" ht="68.400000000000006" x14ac:dyDescent="0.25">
      <c r="A9" s="34"/>
      <c r="B9" s="611"/>
      <c r="C9" s="611"/>
      <c r="D9" s="611"/>
      <c r="E9" s="536" t="s">
        <v>217</v>
      </c>
      <c r="F9" s="537" t="s">
        <v>218</v>
      </c>
      <c r="G9" s="537" t="s">
        <v>219</v>
      </c>
      <c r="H9" s="537" t="s">
        <v>220</v>
      </c>
      <c r="I9" s="537" t="s">
        <v>221</v>
      </c>
      <c r="J9" s="537" t="s">
        <v>222</v>
      </c>
      <c r="K9" s="536" t="s">
        <v>223</v>
      </c>
      <c r="L9" s="537" t="s">
        <v>224</v>
      </c>
      <c r="M9" s="537" t="s">
        <v>225</v>
      </c>
      <c r="N9" s="537" t="s">
        <v>226</v>
      </c>
      <c r="O9" s="56" t="s">
        <v>227</v>
      </c>
      <c r="P9" s="536" t="s">
        <v>228</v>
      </c>
      <c r="Q9" s="537" t="s">
        <v>229</v>
      </c>
      <c r="R9" s="537" t="s">
        <v>230</v>
      </c>
      <c r="S9" s="538" t="s">
        <v>231</v>
      </c>
      <c r="T9" s="518" t="s">
        <v>36</v>
      </c>
      <c r="U9" s="519" t="s">
        <v>232</v>
      </c>
      <c r="V9" s="521" t="s">
        <v>38</v>
      </c>
    </row>
    <row r="10" spans="1:22" x14ac:dyDescent="0.25">
      <c r="A10" s="541"/>
      <c r="B10" s="265" t="s">
        <v>39</v>
      </c>
      <c r="C10" s="265" t="s">
        <v>40</v>
      </c>
      <c r="D10" s="57" t="s">
        <v>41</v>
      </c>
      <c r="E10" s="58" t="s">
        <v>42</v>
      </c>
      <c r="F10" s="57" t="s">
        <v>43</v>
      </c>
      <c r="G10" s="57" t="s">
        <v>44</v>
      </c>
      <c r="H10" s="57" t="s">
        <v>45</v>
      </c>
      <c r="I10" s="266" t="s">
        <v>46</v>
      </c>
      <c r="J10" s="57" t="s">
        <v>47</v>
      </c>
      <c r="K10" s="58" t="s">
        <v>48</v>
      </c>
      <c r="L10" s="57" t="s">
        <v>49</v>
      </c>
      <c r="M10" s="57" t="s">
        <v>50</v>
      </c>
      <c r="N10" s="57" t="s">
        <v>51</v>
      </c>
      <c r="O10" s="57" t="s">
        <v>52</v>
      </c>
      <c r="P10" s="58" t="s">
        <v>233</v>
      </c>
      <c r="Q10" s="57" t="s">
        <v>234</v>
      </c>
      <c r="R10" s="57" t="s">
        <v>235</v>
      </c>
      <c r="S10" s="59" t="s">
        <v>236</v>
      </c>
      <c r="T10" s="542" t="s">
        <v>237</v>
      </c>
      <c r="U10" s="543" t="s">
        <v>238</v>
      </c>
      <c r="V10" s="544" t="s">
        <v>239</v>
      </c>
    </row>
    <row r="11" spans="1:22" x14ac:dyDescent="0.25">
      <c r="A11" s="60" t="s">
        <v>53</v>
      </c>
      <c r="B11" s="61"/>
      <c r="C11" s="61"/>
      <c r="D11" s="13"/>
      <c r="E11" s="62"/>
      <c r="F11" s="13"/>
      <c r="G11" s="13"/>
      <c r="H11" s="13"/>
      <c r="I11" s="13"/>
      <c r="J11" s="13"/>
      <c r="K11" s="62"/>
      <c r="L11" s="13"/>
      <c r="M11" s="13"/>
      <c r="N11" s="13"/>
      <c r="O11" s="63"/>
      <c r="P11" s="62"/>
      <c r="Q11" s="13"/>
      <c r="R11" s="13"/>
      <c r="S11" s="64"/>
      <c r="T11" s="62"/>
      <c r="U11" s="13"/>
      <c r="V11" s="64"/>
    </row>
    <row r="12" spans="1:22" ht="91.2" x14ac:dyDescent="0.25">
      <c r="A12" s="65" t="s">
        <v>178</v>
      </c>
      <c r="B12" s="66" t="s">
        <v>249</v>
      </c>
      <c r="C12" s="66" t="s">
        <v>246</v>
      </c>
      <c r="D12" s="188" t="s">
        <v>247</v>
      </c>
      <c r="E12" s="38" t="s">
        <v>248</v>
      </c>
      <c r="F12" s="188" t="s">
        <v>790</v>
      </c>
      <c r="G12" s="188" t="s">
        <v>248</v>
      </c>
      <c r="H12" s="188" t="s">
        <v>123</v>
      </c>
      <c r="I12" s="188" t="s">
        <v>123</v>
      </c>
      <c r="J12" s="188" t="s">
        <v>123</v>
      </c>
      <c r="K12" s="67">
        <f>(1211.17*12+19.07*12)/'Average wages'!B4</f>
        <v>0.16247763066662266</v>
      </c>
      <c r="L12" s="192">
        <f>((2*1093.52*12+2*17.12*12)-(1211.17*12+19.07*12))/'Average wages'!B4</f>
        <v>0.13088651896853434</v>
      </c>
      <c r="M12" s="267">
        <v>0</v>
      </c>
      <c r="N12" s="267">
        <f>((1691.52*12+12*26)-(1211.17*12+19.07*12))/'Average wages'!B4/2</f>
        <v>3.2177501898504289E-2</v>
      </c>
      <c r="O12" s="188" t="s">
        <v>801</v>
      </c>
      <c r="P12" s="228" t="str">
        <f>"NSA: AUD 104 per fortnight ("&amp;TEXT(104*26/'Average wages'!B4,"0%")&amp;" of AW). 
YA: AUD 143 per fortnight ("&amp;TEXT(143*26/'Average wages'!B4,"0%")&amp;" of AW)."</f>
        <v>NSA: AUD 104 per fortnight (3% of AW). 
YA: AUD 143 per fortnight (4% of AW).</v>
      </c>
      <c r="Q12" s="227" t="str">
        <f>"NSA: 50% up to AUD 254 per fortnight ("&amp;TEXT(254*26/'Average wages'!B4,"0%")&amp;" of AW), 60% thereafter. 40% for lone parents.
YA: 50% up to AUD 250 per fortnight ("&amp;TEXT(250*26/'Average wages'!B4,"0%")&amp;" of AW), 60% thereafter."</f>
        <v>NSA: 50% up to AUD 254 per fortnight (7% of AW), 60% thereafter. 40% for lone parents.
YA: 50% up to AUD 250 per fortnight (7% of AW), 60% thereafter.</v>
      </c>
      <c r="R12" s="188" t="s">
        <v>248</v>
      </c>
      <c r="S12" s="189" t="s">
        <v>123</v>
      </c>
      <c r="T12" s="41" t="str">
        <f>'Unemployment Assistance'!L12</f>
        <v>G: +/- lower benefit rates but higher income disregards for those aged under 22 on YA.
G: + single people aged 60 or over entitled to higher rate after receiving support for 9 consecutive months.</v>
      </c>
      <c r="U12" s="41" t="s">
        <v>826</v>
      </c>
      <c r="V12" s="42" t="s">
        <v>95</v>
      </c>
    </row>
    <row r="13" spans="1:22" ht="68.400000000000006" x14ac:dyDescent="0.25">
      <c r="A13" s="65" t="s">
        <v>644</v>
      </c>
      <c r="B13" s="66" t="s">
        <v>1400</v>
      </c>
      <c r="C13" s="76" t="s">
        <v>1154</v>
      </c>
      <c r="D13" s="188" t="s">
        <v>95</v>
      </c>
      <c r="E13" s="38" t="s">
        <v>248</v>
      </c>
      <c r="F13" s="188" t="s">
        <v>248</v>
      </c>
      <c r="G13" s="188" t="s">
        <v>248</v>
      </c>
      <c r="H13" s="188" t="s">
        <v>123</v>
      </c>
      <c r="I13" s="188" t="s">
        <v>1155</v>
      </c>
      <c r="J13" s="188" t="s">
        <v>123</v>
      </c>
      <c r="K13" s="67">
        <f>688 *12/'Average wages'!B5</f>
        <v>0.16967369107322847</v>
      </c>
      <c r="L13" s="268">
        <f>(1032.015-688.0125)*12/'Average wages'!B5</f>
        <v>8.4837462083456813E-2</v>
      </c>
      <c r="M13" s="268">
        <f>(1527.375-1032.015)/2*12/'Average wages'!B5</f>
        <v>6.1082528786362236E-2</v>
      </c>
      <c r="N13" s="268">
        <f>(1183.3725-688.0125)/2*12/'Average wages'!B5</f>
        <v>6.1082528786362236E-2</v>
      </c>
      <c r="O13" s="188" t="s">
        <v>1156</v>
      </c>
      <c r="P13" s="38" t="s">
        <v>123</v>
      </c>
      <c r="Q13" s="201">
        <v>1</v>
      </c>
      <c r="R13" s="188" t="s">
        <v>248</v>
      </c>
      <c r="S13" s="189" t="s">
        <v>617</v>
      </c>
      <c r="T13" s="41" t="s">
        <v>95</v>
      </c>
      <c r="U13" s="41" t="s">
        <v>95</v>
      </c>
      <c r="V13" s="42" t="s">
        <v>95</v>
      </c>
    </row>
    <row r="14" spans="1:22" ht="68.400000000000006" x14ac:dyDescent="0.25">
      <c r="A14" s="65" t="s">
        <v>240</v>
      </c>
      <c r="B14" s="66" t="s">
        <v>249</v>
      </c>
      <c r="C14" s="66" t="s">
        <v>963</v>
      </c>
      <c r="D14" s="188">
        <v>18</v>
      </c>
      <c r="E14" s="38" t="s">
        <v>104</v>
      </c>
      <c r="F14" s="188" t="s">
        <v>252</v>
      </c>
      <c r="G14" s="188" t="s">
        <v>252</v>
      </c>
      <c r="H14" s="188" t="s">
        <v>252</v>
      </c>
      <c r="I14" s="188" t="s">
        <v>123</v>
      </c>
      <c r="J14" s="188" t="s">
        <v>104</v>
      </c>
      <c r="K14" s="67">
        <f>940.11*12/'Average wages'!B6</f>
        <v>0.23640488986172484</v>
      </c>
      <c r="L14" s="192">
        <f>626.74*12/'Average wages'!B6</f>
        <v>0.15760325990781657</v>
      </c>
      <c r="M14" s="267">
        <f>0*12/'Average wages'!B6</f>
        <v>0</v>
      </c>
      <c r="N14" s="192">
        <f>(1270.51-940.11)*12/'Average wages'!B6</f>
        <v>8.3084081235508492E-2</v>
      </c>
      <c r="O14" s="188" t="s">
        <v>123</v>
      </c>
      <c r="P14" s="228" t="str">
        <f>"Minimex: EUR 310 (250) net monthly ("&amp;TEXT(310*12/'Average wages'!B6,"0%")&amp;"/"&amp;TEXT(250*12/'Average wages'!B6,"0%")&amp;" of AW) with children (without children)"</f>
        <v>Minimex: EUR 310 (250) net monthly (8%/6% of AW) with children (without children)</v>
      </c>
      <c r="Q14" s="227" t="s">
        <v>1021</v>
      </c>
      <c r="R14" s="188" t="s">
        <v>248</v>
      </c>
      <c r="S14" s="42" t="s">
        <v>1022</v>
      </c>
      <c r="T14" s="41" t="s">
        <v>95</v>
      </c>
      <c r="U14" s="41" t="s">
        <v>95</v>
      </c>
      <c r="V14" s="42" t="s">
        <v>95</v>
      </c>
    </row>
    <row r="15" spans="1:22" ht="102.6" x14ac:dyDescent="0.25">
      <c r="A15" s="68" t="s">
        <v>1024</v>
      </c>
      <c r="B15" s="66" t="s">
        <v>1023</v>
      </c>
      <c r="C15" s="76" t="s">
        <v>253</v>
      </c>
      <c r="D15" s="188" t="s">
        <v>104</v>
      </c>
      <c r="E15" s="38" t="s">
        <v>104</v>
      </c>
      <c r="F15" s="188" t="s">
        <v>791</v>
      </c>
      <c r="G15" s="188" t="s">
        <v>104</v>
      </c>
      <c r="H15" s="188" t="s">
        <v>104</v>
      </c>
      <c r="I15" s="188" t="s">
        <v>104</v>
      </c>
      <c r="J15" s="188" t="s">
        <v>104</v>
      </c>
      <c r="K15" s="67">
        <f>733*12/'Average wages'!B7</f>
        <v>0.15353031806748826</v>
      </c>
      <c r="L15" s="192">
        <f>12*(1136-733)/'Average wages'!B7</f>
        <v>8.4410256727418503E-2</v>
      </c>
      <c r="M15" s="192">
        <f>12*(1250-1136)/2/'Average wages'!B7</f>
        <v>1.1938919686012047E-2</v>
      </c>
      <c r="N15" s="192">
        <f>12*(1002-733)/'Average wages'!B7</f>
        <v>5.634332272872352E-2</v>
      </c>
      <c r="O15" s="188" t="s">
        <v>802</v>
      </c>
      <c r="P15" s="38" t="s">
        <v>1025</v>
      </c>
      <c r="Q15" s="201">
        <v>0.5</v>
      </c>
      <c r="R15" s="188" t="s">
        <v>248</v>
      </c>
      <c r="S15" s="189" t="s">
        <v>254</v>
      </c>
      <c r="T15" s="41" t="s">
        <v>95</v>
      </c>
      <c r="U15" s="41" t="s">
        <v>95</v>
      </c>
      <c r="V15" s="42" t="s">
        <v>95</v>
      </c>
    </row>
    <row r="16" spans="1:22" x14ac:dyDescent="0.25">
      <c r="A16" s="68" t="s">
        <v>56</v>
      </c>
      <c r="B16" s="66" t="s">
        <v>1275</v>
      </c>
      <c r="C16" s="76"/>
      <c r="D16" s="188"/>
      <c r="E16" s="38"/>
      <c r="F16" s="188"/>
      <c r="G16" s="188"/>
      <c r="H16" s="188"/>
      <c r="I16" s="188"/>
      <c r="J16" s="188"/>
      <c r="K16" s="67"/>
      <c r="L16" s="192"/>
      <c r="M16" s="192"/>
      <c r="N16" s="192"/>
      <c r="O16" s="188"/>
      <c r="P16" s="38"/>
      <c r="Q16" s="201"/>
      <c r="R16" s="188"/>
      <c r="S16" s="189"/>
      <c r="T16" s="41"/>
      <c r="U16" s="41"/>
      <c r="V16" s="42"/>
    </row>
    <row r="17" spans="1:22" ht="91.2" x14ac:dyDescent="0.25">
      <c r="A17" s="68" t="s">
        <v>241</v>
      </c>
      <c r="B17" s="188" t="s">
        <v>249</v>
      </c>
      <c r="C17" s="269" t="s">
        <v>1052</v>
      </c>
      <c r="D17" s="189" t="s">
        <v>104</v>
      </c>
      <c r="E17" s="188" t="s">
        <v>248</v>
      </c>
      <c r="F17" s="188" t="s">
        <v>248</v>
      </c>
      <c r="G17" s="188" t="s">
        <v>248</v>
      </c>
      <c r="H17" s="188" t="s">
        <v>255</v>
      </c>
      <c r="I17" s="188" t="s">
        <v>123</v>
      </c>
      <c r="J17" s="188" t="s">
        <v>256</v>
      </c>
      <c r="K17" s="67">
        <v>9.7699999999999995E-2</v>
      </c>
      <c r="L17" s="75">
        <v>7.3300000000000004E-2</v>
      </c>
      <c r="M17" s="192">
        <v>5.5599999999999997E-2</v>
      </c>
      <c r="N17" s="192">
        <v>5.1700000000000003E-2</v>
      </c>
      <c r="O17" s="41" t="s">
        <v>123</v>
      </c>
      <c r="P17" s="228" t="s">
        <v>123</v>
      </c>
      <c r="Q17" s="201">
        <v>0.7</v>
      </c>
      <c r="R17" s="188" t="s">
        <v>248</v>
      </c>
      <c r="S17" s="42" t="s">
        <v>257</v>
      </c>
      <c r="T17" s="44" t="s">
        <v>95</v>
      </c>
      <c r="U17" s="44" t="s">
        <v>95</v>
      </c>
      <c r="V17" s="77" t="s">
        <v>95</v>
      </c>
    </row>
    <row r="18" spans="1:22" ht="57" x14ac:dyDescent="0.25">
      <c r="A18" s="65" t="s">
        <v>58</v>
      </c>
      <c r="B18" s="66" t="s">
        <v>249</v>
      </c>
      <c r="C18" s="270" t="s">
        <v>258</v>
      </c>
      <c r="D18" s="188">
        <v>18</v>
      </c>
      <c r="E18" s="38" t="s">
        <v>248</v>
      </c>
      <c r="F18" s="188" t="s">
        <v>792</v>
      </c>
      <c r="G18" s="188" t="s">
        <v>248</v>
      </c>
      <c r="H18" s="188" t="s">
        <v>123</v>
      </c>
      <c r="I18" s="43" t="s">
        <v>123</v>
      </c>
      <c r="J18" s="188" t="s">
        <v>792</v>
      </c>
      <c r="K18" s="67">
        <f>11554*12/'Average wages'!B10</f>
        <v>0.31720416765241771</v>
      </c>
      <c r="L18" s="192">
        <f>11554*12/'Average wages'!B10</f>
        <v>0.31720416765241771</v>
      </c>
      <c r="M18" s="192">
        <f>(15355-11554)/2*12/'Average wages'!B10</f>
        <v>5.2176434189321434E-2</v>
      </c>
      <c r="N18" s="192">
        <f>(15355-11554)/2*12/'Average wages'!B10</f>
        <v>5.2176434189321434E-2</v>
      </c>
      <c r="O18" s="188" t="s">
        <v>803</v>
      </c>
      <c r="P18" s="38" t="s">
        <v>1027</v>
      </c>
      <c r="Q18" s="201">
        <v>1</v>
      </c>
      <c r="R18" s="188" t="s">
        <v>248</v>
      </c>
      <c r="S18" s="189" t="s">
        <v>259</v>
      </c>
      <c r="T18" s="188" t="s">
        <v>818</v>
      </c>
      <c r="U18" s="44" t="s">
        <v>95</v>
      </c>
      <c r="V18" s="77" t="s">
        <v>1026</v>
      </c>
    </row>
    <row r="19" spans="1:22" ht="45.6" x14ac:dyDescent="0.25">
      <c r="A19" s="65" t="s">
        <v>59</v>
      </c>
      <c r="B19" s="66" t="s">
        <v>249</v>
      </c>
      <c r="C19" s="76" t="s">
        <v>1276</v>
      </c>
      <c r="D19" s="188" t="s">
        <v>95</v>
      </c>
      <c r="E19" s="38" t="s">
        <v>260</v>
      </c>
      <c r="F19" s="188" t="s">
        <v>260</v>
      </c>
      <c r="G19" s="188" t="s">
        <v>260</v>
      </c>
      <c r="H19" s="188" t="s">
        <v>123</v>
      </c>
      <c r="I19" s="188" t="s">
        <v>123</v>
      </c>
      <c r="J19" s="188" t="s">
        <v>123</v>
      </c>
      <c r="K19" s="67">
        <f xml:space="preserve"> 150*12/'Average wages'!B11</f>
        <v>0.10819433576024118</v>
      </c>
      <c r="L19" s="199">
        <f xml:space="preserve"> 150*0.8*12/'Average wages'!B11</f>
        <v>8.6555468608192937E-2</v>
      </c>
      <c r="M19" s="192">
        <f xml:space="preserve"> 150*1.2*12/'Average wages'!B11</f>
        <v>0.12983320291228942</v>
      </c>
      <c r="N19" s="192">
        <f xml:space="preserve"> (150*1.2+15/2)*12/'Average wages'!B11</f>
        <v>0.13524291970030147</v>
      </c>
      <c r="O19" s="188" t="s">
        <v>804</v>
      </c>
      <c r="P19" s="38" t="s">
        <v>1277</v>
      </c>
      <c r="Q19" s="201" t="s">
        <v>812</v>
      </c>
      <c r="R19" s="188" t="s">
        <v>248</v>
      </c>
      <c r="S19" s="42" t="s">
        <v>1278</v>
      </c>
      <c r="T19" s="41" t="s">
        <v>95</v>
      </c>
      <c r="U19" s="44" t="s">
        <v>95</v>
      </c>
      <c r="V19" s="77" t="s">
        <v>95</v>
      </c>
    </row>
    <row r="20" spans="1:22" ht="57" x14ac:dyDescent="0.25">
      <c r="A20" s="65" t="s">
        <v>60</v>
      </c>
      <c r="B20" s="66" t="s">
        <v>249</v>
      </c>
      <c r="C20" s="270" t="s">
        <v>261</v>
      </c>
      <c r="D20" s="188" t="s">
        <v>95</v>
      </c>
      <c r="E20" s="38" t="s">
        <v>248</v>
      </c>
      <c r="F20" s="188" t="s">
        <v>248</v>
      </c>
      <c r="G20" s="188" t="s">
        <v>248</v>
      </c>
      <c r="H20" s="188" t="s">
        <v>123</v>
      </c>
      <c r="I20" s="188" t="s">
        <v>123</v>
      </c>
      <c r="J20" s="188" t="s">
        <v>793</v>
      </c>
      <c r="K20" s="67">
        <f>502.21*12/'Average wages'!B12</f>
        <v>0.1318171401589914</v>
      </c>
      <c r="L20" s="192">
        <f>502.21*(0.85*2-1)*12/'Average wages'!B12</f>
        <v>9.2271998111293968E-2</v>
      </c>
      <c r="M20" s="192">
        <f>502.21*(0.63*2-0.05)/2*12/'Average wages'!B12</f>
        <v>7.9749369796189795E-2</v>
      </c>
      <c r="N20" s="192">
        <f>502.21*(1.14+0.63*2-0.05-1)/2*12/'Average wages'!B12</f>
        <v>8.89765696073192E-2</v>
      </c>
      <c r="O20" s="188" t="s">
        <v>805</v>
      </c>
      <c r="P20" s="228" t="str">
        <f>"100% of net earnings up to EUR 150 per working adult per month ("&amp;TEXT(150*12/'Average wages'!B12,"0%")&amp;" of AW)"</f>
        <v>100% of net earnings up to EUR 150 per working adult per month (4% of AW)</v>
      </c>
      <c r="Q20" s="227" t="s">
        <v>1279</v>
      </c>
      <c r="R20" s="188" t="s">
        <v>248</v>
      </c>
      <c r="S20" s="189" t="s">
        <v>1280</v>
      </c>
      <c r="T20" s="41" t="s">
        <v>819</v>
      </c>
      <c r="U20" s="44" t="s">
        <v>95</v>
      </c>
      <c r="V20" s="77" t="s">
        <v>827</v>
      </c>
    </row>
    <row r="21" spans="1:22" ht="79.8" x14ac:dyDescent="0.25">
      <c r="A21" s="65" t="s">
        <v>242</v>
      </c>
      <c r="B21" s="66" t="s">
        <v>249</v>
      </c>
      <c r="C21" s="66" t="s">
        <v>725</v>
      </c>
      <c r="D21" s="188" t="s">
        <v>1028</v>
      </c>
      <c r="E21" s="38" t="s">
        <v>248</v>
      </c>
      <c r="F21" s="188" t="s">
        <v>248</v>
      </c>
      <c r="G21" s="188" t="s">
        <v>248</v>
      </c>
      <c r="H21" s="188" t="s">
        <v>123</v>
      </c>
      <c r="I21" s="188" t="s">
        <v>123</v>
      </c>
      <c r="J21" s="188" t="s">
        <v>123</v>
      </c>
      <c r="K21" s="67">
        <f>559.74*12/'Average wages'!$B$13</f>
        <v>0.1758900850746534</v>
      </c>
      <c r="L21" s="192">
        <f>(839.61-559.74)*12/'Average wages'!$B$13</f>
        <v>8.7945042537326698E-2</v>
      </c>
      <c r="M21" s="192">
        <f>0.5*(1007.53-559.74)*12/'Average wages'!$B$13</f>
        <v>7.0355719794528745E-2</v>
      </c>
      <c r="N21" s="192">
        <f>(958.36-839.61)*12/'Average wages'!$B$13</f>
        <v>3.7315445747338215E-2</v>
      </c>
      <c r="O21" s="188" t="s">
        <v>262</v>
      </c>
      <c r="P21" s="38" t="s">
        <v>813</v>
      </c>
      <c r="Q21" s="201" t="s">
        <v>814</v>
      </c>
      <c r="R21" s="188" t="s">
        <v>248</v>
      </c>
      <c r="S21" s="189" t="s">
        <v>726</v>
      </c>
      <c r="T21" s="41" t="s">
        <v>95</v>
      </c>
      <c r="U21" s="44" t="s">
        <v>95</v>
      </c>
      <c r="V21" s="77" t="s">
        <v>95</v>
      </c>
    </row>
    <row r="22" spans="1:22" ht="136.80000000000001" x14ac:dyDescent="0.25">
      <c r="A22" s="65" t="s">
        <v>616</v>
      </c>
      <c r="B22" s="271" t="s">
        <v>249</v>
      </c>
      <c r="C22" s="271" t="s">
        <v>600</v>
      </c>
      <c r="D22" s="41">
        <v>15</v>
      </c>
      <c r="E22" s="228" t="s">
        <v>248</v>
      </c>
      <c r="F22" s="41" t="s">
        <v>248</v>
      </c>
      <c r="G22" s="41" t="s">
        <v>248</v>
      </c>
      <c r="H22" s="41" t="s">
        <v>1168</v>
      </c>
      <c r="I22" s="41" t="s">
        <v>123</v>
      </c>
      <c r="J22" s="41" t="s">
        <v>248</v>
      </c>
      <c r="K22" s="272">
        <f>432*12/'Average wages'!B14</f>
        <v>9.9493635678869013E-2</v>
      </c>
      <c r="L22" s="268">
        <f>(2*389-432)*12/'Average wages'!B14</f>
        <v>7.9687032279834896E-2</v>
      </c>
      <c r="M22" s="268">
        <f>(308+250)/2*12/'Average wages'!B14</f>
        <v>6.425630637593624E-2</v>
      </c>
      <c r="N22" s="268">
        <f>(432*0.36)*12/'Average wages'!B14</f>
        <v>3.5817708844392837E-2</v>
      </c>
      <c r="O22" s="41" t="s">
        <v>1169</v>
      </c>
      <c r="P22" s="228" t="str">
        <f>"EUR 100/month ("&amp;TEXT(100*100*12/'Average wages'!B14,0)&amp;"% of AW)"</f>
        <v>EUR 100/month (2% of AW)</v>
      </c>
      <c r="Q22" s="227" t="str">
        <f>"80% up to EUR 1000/month ("&amp;TEXT(100*1000*12/'Average wages'!B14,0)&amp;"% of AW)
Then 90% up to EUR 1200/month ("&amp;TEXT(100*1200*12/'Average wages'!B14,0)&amp;"% of AW), EUR1500/month ("&amp;TEXT(100*1500*12/'Average wages'!B14,0)&amp;"% of AW if children)
100% thereafter"</f>
        <v>80% up to EUR 1000/month (23% of AW)
Then 90% up to EUR 1200/month (28% of AW), EUR1500/month (35% of AW if children)
100% thereafter</v>
      </c>
      <c r="R22" s="41" t="s">
        <v>248</v>
      </c>
      <c r="S22" s="42" t="s">
        <v>1231</v>
      </c>
      <c r="T22" s="41" t="s">
        <v>95</v>
      </c>
      <c r="U22" s="44" t="s">
        <v>95</v>
      </c>
      <c r="V22" s="77" t="s">
        <v>1170</v>
      </c>
    </row>
    <row r="23" spans="1:22" ht="57" x14ac:dyDescent="0.25">
      <c r="A23" s="65" t="s">
        <v>63</v>
      </c>
      <c r="B23" s="271" t="s">
        <v>249</v>
      </c>
      <c r="C23" s="270" t="s">
        <v>1281</v>
      </c>
      <c r="D23" s="41">
        <v>18</v>
      </c>
      <c r="E23" s="228" t="s">
        <v>248</v>
      </c>
      <c r="F23" s="41" t="s">
        <v>248</v>
      </c>
      <c r="G23" s="41" t="s">
        <v>248</v>
      </c>
      <c r="H23" s="41" t="s">
        <v>123</v>
      </c>
      <c r="I23" s="41" t="s">
        <v>123</v>
      </c>
      <c r="J23" s="41" t="s">
        <v>123</v>
      </c>
      <c r="K23" s="272">
        <f>200*12/'Average wages'!B15</f>
        <v>0.11353307276961747</v>
      </c>
      <c r="L23" s="268">
        <f>100*12/'Average wages'!B15</f>
        <v>5.6766536384808733E-2</v>
      </c>
      <c r="M23" s="268">
        <f>50*12/'Average wages'!B15</f>
        <v>2.8383268192404366E-2</v>
      </c>
      <c r="N23" s="268">
        <f>(50+100)/2*12/'Average wages'!B15</f>
        <v>4.2574902288606546E-2</v>
      </c>
      <c r="O23" s="41" t="s">
        <v>123</v>
      </c>
      <c r="P23" s="228" t="s">
        <v>1282</v>
      </c>
      <c r="Q23" s="227" t="s">
        <v>1283</v>
      </c>
      <c r="R23" s="41" t="s">
        <v>248</v>
      </c>
      <c r="S23" s="42" t="s">
        <v>1284</v>
      </c>
      <c r="T23" s="41" t="s">
        <v>1285</v>
      </c>
      <c r="U23" s="44" t="s">
        <v>95</v>
      </c>
      <c r="V23" s="77" t="s">
        <v>95</v>
      </c>
    </row>
    <row r="24" spans="1:22" ht="22.8" x14ac:dyDescent="0.25">
      <c r="A24" s="65" t="s">
        <v>313</v>
      </c>
      <c r="B24" s="66" t="s">
        <v>249</v>
      </c>
      <c r="C24" s="66" t="s">
        <v>263</v>
      </c>
      <c r="D24" s="66">
        <v>18</v>
      </c>
      <c r="E24" s="38" t="s">
        <v>248</v>
      </c>
      <c r="F24" s="188" t="s">
        <v>248</v>
      </c>
      <c r="G24" s="188" t="s">
        <v>248</v>
      </c>
      <c r="H24" s="188" t="s">
        <v>248</v>
      </c>
      <c r="I24" s="188" t="s">
        <v>123</v>
      </c>
      <c r="J24" s="188" t="s">
        <v>123</v>
      </c>
      <c r="K24" s="67">
        <v>4.4574770073263471E-2</v>
      </c>
      <c r="L24" s="192">
        <v>0</v>
      </c>
      <c r="M24" s="192">
        <v>0</v>
      </c>
      <c r="N24" s="192">
        <v>0</v>
      </c>
      <c r="O24" s="188" t="s">
        <v>123</v>
      </c>
      <c r="P24" s="38" t="s">
        <v>123</v>
      </c>
      <c r="Q24" s="201" t="s">
        <v>95</v>
      </c>
      <c r="R24" s="188" t="s">
        <v>248</v>
      </c>
      <c r="S24" s="189" t="s">
        <v>264</v>
      </c>
      <c r="T24" s="41" t="s">
        <v>95</v>
      </c>
      <c r="U24" s="44" t="s">
        <v>95</v>
      </c>
      <c r="V24" s="77" t="s">
        <v>95</v>
      </c>
    </row>
    <row r="25" spans="1:22" ht="57" x14ac:dyDescent="0.25">
      <c r="A25" s="273" t="s">
        <v>1286</v>
      </c>
      <c r="B25" s="69" t="s">
        <v>1287</v>
      </c>
      <c r="C25" s="274" t="s">
        <v>608</v>
      </c>
      <c r="D25" s="70">
        <v>18</v>
      </c>
      <c r="E25" s="71" t="s">
        <v>123</v>
      </c>
      <c r="F25" s="70" t="s">
        <v>123</v>
      </c>
      <c r="G25" s="70" t="s">
        <v>248</v>
      </c>
      <c r="H25" s="70" t="s">
        <v>123</v>
      </c>
      <c r="I25" s="70" t="s">
        <v>123</v>
      </c>
      <c r="J25" s="70" t="s">
        <v>104</v>
      </c>
      <c r="K25" s="74">
        <f>207709*12/'Average wages'!B17</f>
        <v>0.26954478973529467</v>
      </c>
      <c r="L25" s="75">
        <f>(322334-207709)*12/'Average wages'!B17</f>
        <v>0.14874931526033128</v>
      </c>
      <c r="M25" s="275">
        <v>0</v>
      </c>
      <c r="N25" s="267">
        <v>0</v>
      </c>
      <c r="O25" s="70" t="s">
        <v>1288</v>
      </c>
      <c r="P25" s="71" t="s">
        <v>123</v>
      </c>
      <c r="Q25" s="72">
        <v>1</v>
      </c>
      <c r="R25" s="70" t="s">
        <v>104</v>
      </c>
      <c r="S25" s="73" t="s">
        <v>1289</v>
      </c>
      <c r="T25" s="41" t="s">
        <v>95</v>
      </c>
      <c r="U25" s="44" t="s">
        <v>95</v>
      </c>
      <c r="V25" s="77" t="s">
        <v>1290</v>
      </c>
    </row>
    <row r="26" spans="1:22" ht="79.8" x14ac:dyDescent="0.25">
      <c r="A26" s="65" t="s">
        <v>662</v>
      </c>
      <c r="B26" s="66" t="s">
        <v>249</v>
      </c>
      <c r="C26" s="76" t="s">
        <v>1090</v>
      </c>
      <c r="D26" s="188" t="s">
        <v>95</v>
      </c>
      <c r="E26" s="38" t="s">
        <v>248</v>
      </c>
      <c r="F26" s="188" t="s">
        <v>248</v>
      </c>
      <c r="G26" s="188" t="s">
        <v>248</v>
      </c>
      <c r="H26" s="188" t="s">
        <v>123</v>
      </c>
      <c r="I26" s="188" t="s">
        <v>123</v>
      </c>
      <c r="J26" s="188" t="s">
        <v>123</v>
      </c>
      <c r="K26" s="67">
        <f>201*52/'Average wages'!B18</f>
        <v>0.22388319659252839</v>
      </c>
      <c r="L26" s="192">
        <f>134.7*52/'Average wages'!B18</f>
        <v>0.15003515711947052</v>
      </c>
      <c r="M26" s="192">
        <f>36*52/'Average wages'!B18</f>
        <v>4.0098482971796127E-2</v>
      </c>
      <c r="N26" s="192">
        <f>M26</f>
        <v>4.0098482971796127E-2</v>
      </c>
      <c r="O26" s="188" t="s">
        <v>123</v>
      </c>
      <c r="P26" s="38" t="s">
        <v>123</v>
      </c>
      <c r="Q26" s="201" t="s">
        <v>1091</v>
      </c>
      <c r="R26" s="188" t="s">
        <v>248</v>
      </c>
      <c r="S26" s="189" t="s">
        <v>1092</v>
      </c>
      <c r="T26" s="41" t="s">
        <v>820</v>
      </c>
      <c r="U26" s="44" t="s">
        <v>95</v>
      </c>
      <c r="V26" s="77" t="s">
        <v>95</v>
      </c>
    </row>
    <row r="27" spans="1:22" ht="102.6" x14ac:dyDescent="0.25">
      <c r="A27" s="65" t="s">
        <v>67</v>
      </c>
      <c r="B27" s="66" t="s">
        <v>249</v>
      </c>
      <c r="C27" s="270" t="s">
        <v>1029</v>
      </c>
      <c r="D27" s="188">
        <v>20</v>
      </c>
      <c r="E27" s="38" t="s">
        <v>248</v>
      </c>
      <c r="F27" s="188" t="s">
        <v>248</v>
      </c>
      <c r="G27" s="188" t="s">
        <v>248</v>
      </c>
      <c r="H27" s="188" t="s">
        <v>123</v>
      </c>
      <c r="I27" s="188" t="s">
        <v>123</v>
      </c>
      <c r="J27" s="188" t="s">
        <v>265</v>
      </c>
      <c r="K27" s="67">
        <f>0.2*8804*12/'Average wages'!B19</f>
        <v>0.13450407163733821</v>
      </c>
      <c r="L27" s="192">
        <f>(0.275*8804*12-0.2*8804*12)/'Average wages'!B19</f>
        <v>5.0439026864001833E-2</v>
      </c>
      <c r="M27" s="192">
        <f>(0.335*8804*12-0.275*8804*12)/2/'Average wages'!B19</f>
        <v>2.017561074560072E-2</v>
      </c>
      <c r="N27" s="192">
        <f>(0.39*8804*12-0.2*8804*12)/2/'Average wages'!B19</f>
        <v>6.3889434027735642E-2</v>
      </c>
      <c r="O27" s="188" t="s">
        <v>123</v>
      </c>
      <c r="P27" s="38" t="str">
        <f>"ILS 528/month ("&amp;TEXT(528*12*100/'Average wages'!B19,0)&amp;"% of AW) for single people without dependents aged under 55, ILS 729/month ("&amp;TEXT(729*12*100/'Average wages'!B19,0)&amp;"% of AW) for those aged under 55 with dependents, ILS 1372/month ("&amp;TEXT(1372*12*100/'Average wages'!B19,0)&amp;"% of AW) for single people without dependents aged 55 and over, ILS 1794/month ("&amp;TEXT(1794*12*100/'Average wages'!B19,0)&amp;"% of AW) for those aged 55 and over with dependents"</f>
        <v>ILS 528/month (4% of AW) for single people without dependents aged under 55, ILS 729/month (6% of AW) for those aged under 55 with dependents, ILS 1372/month (10% of AW) for single people without dependents aged 55 and over, ILS 1794/month (14% of AW) for those aged 55 and over with dependents</v>
      </c>
      <c r="Q27" s="201" t="s">
        <v>815</v>
      </c>
      <c r="R27" s="188" t="s">
        <v>104</v>
      </c>
      <c r="S27" s="189" t="s">
        <v>266</v>
      </c>
      <c r="T27" s="188" t="s">
        <v>821</v>
      </c>
      <c r="U27" s="44" t="s">
        <v>95</v>
      </c>
      <c r="V27" s="77" t="s">
        <v>95</v>
      </c>
    </row>
    <row r="28" spans="1:22" ht="171" x14ac:dyDescent="0.25">
      <c r="A28" s="65" t="s">
        <v>68</v>
      </c>
      <c r="B28" s="66" t="s">
        <v>249</v>
      </c>
      <c r="C28" s="271" t="s">
        <v>1053</v>
      </c>
      <c r="D28" s="188" t="s">
        <v>95</v>
      </c>
      <c r="E28" s="38" t="s">
        <v>248</v>
      </c>
      <c r="F28" s="188" t="s">
        <v>1054</v>
      </c>
      <c r="G28" s="188" t="s">
        <v>1054</v>
      </c>
      <c r="H28" s="188" t="s">
        <v>123</v>
      </c>
      <c r="I28" s="188" t="s">
        <v>1054</v>
      </c>
      <c r="J28" s="41" t="s">
        <v>794</v>
      </c>
      <c r="K28" s="276">
        <v>0.19159999999999999</v>
      </c>
      <c r="L28" s="267">
        <v>7.6600000000000001E-2</v>
      </c>
      <c r="M28" s="267">
        <v>3.8350000000000002E-2</v>
      </c>
      <c r="N28" s="267" t="s">
        <v>123</v>
      </c>
      <c r="O28" s="277" t="s">
        <v>1055</v>
      </c>
      <c r="P28" s="38" t="s">
        <v>1071</v>
      </c>
      <c r="Q28" s="201" t="s">
        <v>1072</v>
      </c>
      <c r="R28" s="188" t="s">
        <v>248</v>
      </c>
      <c r="S28" s="189" t="s">
        <v>1056</v>
      </c>
      <c r="T28" s="188" t="s">
        <v>1057</v>
      </c>
      <c r="U28" s="44" t="s">
        <v>1058</v>
      </c>
      <c r="V28" s="77" t="s">
        <v>1059</v>
      </c>
    </row>
    <row r="29" spans="1:22" ht="79.8" x14ac:dyDescent="0.25">
      <c r="A29" s="278" t="s">
        <v>69</v>
      </c>
      <c r="B29" s="271" t="s">
        <v>1401</v>
      </c>
      <c r="C29" s="270" t="s">
        <v>267</v>
      </c>
      <c r="D29" s="41" t="s">
        <v>95</v>
      </c>
      <c r="E29" s="228" t="s">
        <v>248</v>
      </c>
      <c r="F29" s="41" t="s">
        <v>248</v>
      </c>
      <c r="G29" s="41" t="s">
        <v>248</v>
      </c>
      <c r="H29" s="41" t="s">
        <v>123</v>
      </c>
      <c r="I29" s="41" t="s">
        <v>123</v>
      </c>
      <c r="J29" s="41" t="s">
        <v>104</v>
      </c>
      <c r="K29" s="272">
        <v>0.18770000000000001</v>
      </c>
      <c r="L29" s="268">
        <v>0.1081</v>
      </c>
      <c r="M29" s="268">
        <v>8.2799999999999999E-2</v>
      </c>
      <c r="N29" s="268">
        <v>0.1394</v>
      </c>
      <c r="O29" s="279" t="s">
        <v>1060</v>
      </c>
      <c r="P29" s="228" t="str">
        <f>"JPY 15,200/month ("&amp;TEXT(15200*12*100/'Average wages'!B19,0)&amp;"% of AW)"</f>
        <v>JPY 15,200/month (116% of AW)</v>
      </c>
      <c r="Q29" s="227" t="str">
        <f>"100% between disregard level and JPY 19,000 per month ("&amp;TEXT(19000*12*100/'Average wages'!B19,0)&amp;"% of AW)
90% above this level"</f>
        <v>100% between disregard level and JPY 19,000 per month (145% of AW)
90% above this level</v>
      </c>
      <c r="R29" s="41" t="s">
        <v>248</v>
      </c>
      <c r="S29" s="42" t="s">
        <v>672</v>
      </c>
      <c r="T29" s="41" t="s">
        <v>822</v>
      </c>
      <c r="U29" s="44" t="s">
        <v>95</v>
      </c>
      <c r="V29" s="77" t="s">
        <v>95</v>
      </c>
    </row>
    <row r="30" spans="1:22" ht="22.8" x14ac:dyDescent="0.25">
      <c r="A30" s="65" t="s">
        <v>70</v>
      </c>
      <c r="B30" s="260" t="s">
        <v>1447</v>
      </c>
      <c r="C30" s="76"/>
      <c r="D30" s="188"/>
      <c r="E30" s="38"/>
      <c r="F30" s="188"/>
      <c r="G30" s="188"/>
      <c r="H30" s="188"/>
      <c r="I30" s="188"/>
      <c r="J30" s="188"/>
      <c r="K30" s="67"/>
      <c r="L30" s="192"/>
      <c r="M30" s="192"/>
      <c r="N30" s="192"/>
      <c r="O30" s="188"/>
      <c r="P30" s="38"/>
      <c r="Q30" s="201"/>
      <c r="R30" s="188"/>
      <c r="S30" s="189"/>
      <c r="T30" s="41"/>
      <c r="U30" s="44"/>
      <c r="V30" s="77"/>
    </row>
    <row r="31" spans="1:22" ht="68.400000000000006" x14ac:dyDescent="0.25">
      <c r="A31" s="256" t="s">
        <v>85</v>
      </c>
      <c r="B31" s="66" t="s">
        <v>1291</v>
      </c>
      <c r="C31" s="280" t="s">
        <v>1292</v>
      </c>
      <c r="D31" s="188" t="s">
        <v>95</v>
      </c>
      <c r="E31" s="38" t="s">
        <v>248</v>
      </c>
      <c r="F31" s="188" t="s">
        <v>248</v>
      </c>
      <c r="G31" s="188" t="s">
        <v>248</v>
      </c>
      <c r="H31" s="188" t="s">
        <v>123</v>
      </c>
      <c r="I31" s="188" t="s">
        <v>123</v>
      </c>
      <c r="J31" s="188" t="s">
        <v>123</v>
      </c>
      <c r="K31" s="276">
        <f>64*12/'Average wages'!B23</f>
        <v>5.9476546946809802E-2</v>
      </c>
      <c r="L31" s="267">
        <f>64*12/'Average wages'!B23</f>
        <v>5.9476546946809802E-2</v>
      </c>
      <c r="M31" s="267">
        <f>80*12/'Average wages'!B23</f>
        <v>7.4345683683512243E-2</v>
      </c>
      <c r="N31" s="267">
        <f>80*12/'Average wages'!B23</f>
        <v>7.4345683683512243E-2</v>
      </c>
      <c r="O31" s="188" t="s">
        <v>637</v>
      </c>
      <c r="P31" s="38" t="s">
        <v>651</v>
      </c>
      <c r="Q31" s="201" t="s">
        <v>1293</v>
      </c>
      <c r="R31" s="188" t="s">
        <v>248</v>
      </c>
      <c r="S31" s="189" t="s">
        <v>1294</v>
      </c>
      <c r="T31" s="41" t="s">
        <v>95</v>
      </c>
      <c r="U31" s="41" t="s">
        <v>95</v>
      </c>
      <c r="V31" s="42" t="s">
        <v>1295</v>
      </c>
    </row>
    <row r="32" spans="1:22" ht="102.6" x14ac:dyDescent="0.25">
      <c r="A32" s="281" t="s">
        <v>86</v>
      </c>
      <c r="B32" s="271" t="s">
        <v>249</v>
      </c>
      <c r="C32" s="270" t="s">
        <v>643</v>
      </c>
      <c r="D32" s="41" t="s">
        <v>95</v>
      </c>
      <c r="E32" s="228" t="s">
        <v>248</v>
      </c>
      <c r="F32" s="41" t="s">
        <v>248</v>
      </c>
      <c r="G32" s="41" t="s">
        <v>248</v>
      </c>
      <c r="H32" s="41" t="s">
        <v>123</v>
      </c>
      <c r="I32" s="41" t="s">
        <v>795</v>
      </c>
      <c r="J32" s="41" t="s">
        <v>123</v>
      </c>
      <c r="K32" s="272">
        <f>125*12/'Average wages'!B24</f>
        <v>9.1321319163135295E-2</v>
      </c>
      <c r="L32" s="268">
        <f>125*0.8*12/'Average wages'!B24</f>
        <v>7.3057055330508228E-2</v>
      </c>
      <c r="M32" s="268">
        <f>125*0.7*12/'Average wages'!B24</f>
        <v>6.3924923414194701E-2</v>
      </c>
      <c r="N32" s="268">
        <f>125*(0.8+0.7)/2*12/'Average wages'!B24</f>
        <v>6.8490989372351471E-2</v>
      </c>
      <c r="O32" s="41" t="s">
        <v>1296</v>
      </c>
      <c r="P32" s="228" t="s">
        <v>737</v>
      </c>
      <c r="Q32" s="227" t="s">
        <v>645</v>
      </c>
      <c r="R32" s="41" t="s">
        <v>248</v>
      </c>
      <c r="S32" s="42" t="s">
        <v>1297</v>
      </c>
      <c r="T32" s="41" t="s">
        <v>95</v>
      </c>
      <c r="U32" s="41" t="s">
        <v>646</v>
      </c>
      <c r="V32" s="42" t="s">
        <v>95</v>
      </c>
    </row>
    <row r="33" spans="1:22" ht="45.6" x14ac:dyDescent="0.25">
      <c r="A33" s="65" t="s">
        <v>485</v>
      </c>
      <c r="B33" s="66" t="s">
        <v>249</v>
      </c>
      <c r="C33" s="76" t="s">
        <v>1030</v>
      </c>
      <c r="D33" s="188" t="s">
        <v>787</v>
      </c>
      <c r="E33" s="38" t="s">
        <v>248</v>
      </c>
      <c r="F33" s="188" t="s">
        <v>248</v>
      </c>
      <c r="G33" s="188" t="s">
        <v>248</v>
      </c>
      <c r="H33" s="188" t="s">
        <v>123</v>
      </c>
      <c r="I33" s="188" t="s">
        <v>123</v>
      </c>
      <c r="J33" s="188" t="s">
        <v>123</v>
      </c>
      <c r="K33" s="67">
        <f>751.46*12/'Average wages'!$B$25</f>
        <v>0.15536757188627115</v>
      </c>
      <c r="L33" s="75">
        <f>751.46*12/'Average wages'!$B$25</f>
        <v>0.15536757188627115</v>
      </c>
      <c r="M33" s="192">
        <f>233.32*12/'Average wages'!$B$25</f>
        <v>4.8239908807527723E-2</v>
      </c>
      <c r="N33" s="192">
        <f>68.96*12/'Average wages'!$B$25</f>
        <v>1.4257775207299466E-2</v>
      </c>
      <c r="O33" s="188" t="str">
        <f>"Common expenses ("&amp;ROUND(100*K33,1)&amp;"% of AW)"&amp;CHAR(10)&amp;"Expensive life allowance (Allocation de vie chère)"</f>
        <v>Common expenses (15.5% of AW)
Expensive life allowance (Allocation de vie chère)</v>
      </c>
      <c r="P33" s="38" t="s">
        <v>123</v>
      </c>
      <c r="Q33" s="201">
        <v>0.75</v>
      </c>
      <c r="R33" s="188" t="s">
        <v>248</v>
      </c>
      <c r="S33" s="189" t="s">
        <v>274</v>
      </c>
      <c r="T33" s="41" t="s">
        <v>95</v>
      </c>
      <c r="U33" s="44" t="s">
        <v>95</v>
      </c>
      <c r="V33" s="77" t="s">
        <v>95</v>
      </c>
    </row>
    <row r="34" spans="1:22" ht="45.6" x14ac:dyDescent="0.25">
      <c r="A34" s="65" t="s">
        <v>72</v>
      </c>
      <c r="B34" s="271" t="s">
        <v>249</v>
      </c>
      <c r="C34" s="270" t="s">
        <v>703</v>
      </c>
      <c r="D34" s="41" t="s">
        <v>788</v>
      </c>
      <c r="E34" s="228" t="s">
        <v>248</v>
      </c>
      <c r="F34" s="41" t="s">
        <v>248</v>
      </c>
      <c r="G34" s="41" t="s">
        <v>248</v>
      </c>
      <c r="H34" s="41" t="s">
        <v>123</v>
      </c>
      <c r="I34" s="41" t="s">
        <v>123</v>
      </c>
      <c r="J34" s="41" t="s">
        <v>796</v>
      </c>
      <c r="K34" s="272">
        <f>11996/'Average wages'!B26</f>
        <v>0.21873399096273025</v>
      </c>
      <c r="L34" s="268">
        <f>(17138-11996)/'Average wages'!B26</f>
        <v>9.3758768050213326E-2</v>
      </c>
      <c r="M34" s="268">
        <f>(17138-17138)/2*12/'Average wages'!B26</f>
        <v>0</v>
      </c>
      <c r="N34" s="268">
        <f>(11996-11996)/'Average wages'!B26</f>
        <v>0</v>
      </c>
      <c r="O34" s="41" t="s">
        <v>806</v>
      </c>
      <c r="P34" s="228" t="s">
        <v>123</v>
      </c>
      <c r="Q34" s="227">
        <v>1</v>
      </c>
      <c r="R34" s="41" t="s">
        <v>248</v>
      </c>
      <c r="S34" s="42" t="s">
        <v>269</v>
      </c>
      <c r="T34" s="41" t="s">
        <v>823</v>
      </c>
      <c r="U34" s="41" t="s">
        <v>95</v>
      </c>
      <c r="V34" s="42" t="s">
        <v>95</v>
      </c>
    </row>
    <row r="35" spans="1:22" ht="22.8" x14ac:dyDescent="0.25">
      <c r="A35" s="68" t="s">
        <v>243</v>
      </c>
      <c r="B35" s="260" t="s">
        <v>1447</v>
      </c>
      <c r="C35" s="40"/>
      <c r="D35" s="66"/>
      <c r="E35" s="38"/>
      <c r="F35" s="188"/>
      <c r="G35" s="188"/>
      <c r="H35" s="188"/>
      <c r="I35" s="188"/>
      <c r="J35" s="188"/>
      <c r="K35" s="67"/>
      <c r="L35" s="199"/>
      <c r="M35" s="192"/>
      <c r="N35" s="192"/>
      <c r="O35" s="188"/>
      <c r="P35" s="38"/>
      <c r="Q35" s="201"/>
      <c r="R35" s="188"/>
      <c r="S35" s="189"/>
      <c r="T35" s="198"/>
      <c r="U35" s="41"/>
      <c r="V35" s="42"/>
    </row>
    <row r="36" spans="1:22" ht="22.8" x14ac:dyDescent="0.25">
      <c r="A36" s="68" t="s">
        <v>73</v>
      </c>
      <c r="B36" s="66" t="s">
        <v>800</v>
      </c>
      <c r="C36" s="76" t="s">
        <v>711</v>
      </c>
      <c r="D36" s="188" t="s">
        <v>95</v>
      </c>
      <c r="E36" s="38" t="s">
        <v>248</v>
      </c>
      <c r="F36" s="188" t="s">
        <v>248</v>
      </c>
      <c r="G36" s="188" t="s">
        <v>248</v>
      </c>
      <c r="H36" s="188" t="s">
        <v>248</v>
      </c>
      <c r="I36" s="188" t="s">
        <v>123</v>
      </c>
      <c r="J36" s="188" t="s">
        <v>270</v>
      </c>
      <c r="K36" s="272">
        <f>6250*12/'Average wages'!B28</f>
        <v>0.11954675347880044</v>
      </c>
      <c r="L36" s="268">
        <f>(10450-6250)*12/'Average wages'!B28</f>
        <v>8.03354183377539E-2</v>
      </c>
      <c r="M36" s="268">
        <f>(10450+2450+3150-10450)/2*12/'Average wages'!B28</f>
        <v>5.3556945558502593E-2</v>
      </c>
      <c r="N36" s="282">
        <f>(6250+2450+3150-6250)/2*12/'Average wages'!B28</f>
        <v>5.3556945558502593E-2</v>
      </c>
      <c r="O36" s="188" t="s">
        <v>807</v>
      </c>
      <c r="P36" s="38" t="s">
        <v>123</v>
      </c>
      <c r="Q36" s="201">
        <v>1</v>
      </c>
      <c r="R36" s="188" t="s">
        <v>248</v>
      </c>
      <c r="S36" s="189" t="s">
        <v>251</v>
      </c>
      <c r="T36" s="188" t="s">
        <v>819</v>
      </c>
      <c r="U36" s="41" t="s">
        <v>95</v>
      </c>
      <c r="V36" s="42" t="s">
        <v>95</v>
      </c>
    </row>
    <row r="37" spans="1:22" ht="45.6" x14ac:dyDescent="0.25">
      <c r="A37" s="65" t="s">
        <v>244</v>
      </c>
      <c r="B37" s="271" t="s">
        <v>249</v>
      </c>
      <c r="C37" s="270" t="s">
        <v>271</v>
      </c>
      <c r="D37" s="41">
        <v>18</v>
      </c>
      <c r="E37" s="228" t="s">
        <v>260</v>
      </c>
      <c r="F37" s="41" t="s">
        <v>260</v>
      </c>
      <c r="G37" s="41" t="s">
        <v>260</v>
      </c>
      <c r="H37" s="41" t="s">
        <v>123</v>
      </c>
      <c r="I37" s="41" t="s">
        <v>123</v>
      </c>
      <c r="J37" s="41" t="s">
        <v>104</v>
      </c>
      <c r="K37" s="272">
        <f>418*12/'Average wages'!B29</f>
        <v>8.2344638683299096E-2</v>
      </c>
      <c r="L37" s="268">
        <f>(528*2-418)*12/'Average wages'!B29</f>
        <v>0.12568392220082494</v>
      </c>
      <c r="M37" s="268">
        <f>528*12/'Average wages'!B29</f>
        <v>0.10401428044206203</v>
      </c>
      <c r="N37" s="268">
        <f>(528*3-418)/2*12/'Average wages'!B29</f>
        <v>0.11484910132144348</v>
      </c>
      <c r="O37" s="41" t="s">
        <v>272</v>
      </c>
      <c r="P37" s="228" t="s">
        <v>810</v>
      </c>
      <c r="Q37" s="227" t="s">
        <v>816</v>
      </c>
      <c r="R37" s="41" t="s">
        <v>248</v>
      </c>
      <c r="S37" s="42" t="s">
        <v>1298</v>
      </c>
      <c r="T37" s="41" t="s">
        <v>95</v>
      </c>
      <c r="U37" s="41" t="s">
        <v>95</v>
      </c>
      <c r="V37" s="42" t="s">
        <v>95</v>
      </c>
    </row>
    <row r="38" spans="1:22" ht="45.6" x14ac:dyDescent="0.25">
      <c r="A38" s="65" t="s">
        <v>74</v>
      </c>
      <c r="B38" s="66" t="s">
        <v>249</v>
      </c>
      <c r="C38" s="76" t="s">
        <v>273</v>
      </c>
      <c r="D38" s="188" t="s">
        <v>1186</v>
      </c>
      <c r="E38" s="38" t="s">
        <v>248</v>
      </c>
      <c r="F38" s="188" t="s">
        <v>248</v>
      </c>
      <c r="G38" s="188" t="s">
        <v>248</v>
      </c>
      <c r="H38" s="188" t="s">
        <v>123</v>
      </c>
      <c r="I38" s="188" t="s">
        <v>268</v>
      </c>
      <c r="J38" s="188" t="s">
        <v>123</v>
      </c>
      <c r="K38" s="67">
        <f>190.99*12/'Average wages'!B30</f>
        <v>0.11766652500913438</v>
      </c>
      <c r="L38" s="192">
        <f>K38*0.7</f>
        <v>8.2366567506394067E-2</v>
      </c>
      <c r="M38" s="192">
        <f>K38*0.5</f>
        <v>5.8833262504567191E-2</v>
      </c>
      <c r="N38" s="192">
        <f>M38</f>
        <v>5.8833262504567191E-2</v>
      </c>
      <c r="O38" s="188" t="s">
        <v>123</v>
      </c>
      <c r="P38" s="38" t="s">
        <v>123</v>
      </c>
      <c r="Q38" s="201" t="s">
        <v>1187</v>
      </c>
      <c r="R38" s="188" t="s">
        <v>248</v>
      </c>
      <c r="S38" s="189" t="s">
        <v>1188</v>
      </c>
      <c r="T38" s="41" t="s">
        <v>95</v>
      </c>
      <c r="U38" s="41" t="s">
        <v>95</v>
      </c>
      <c r="V38" s="42" t="s">
        <v>95</v>
      </c>
    </row>
    <row r="39" spans="1:22" ht="68.400000000000006" x14ac:dyDescent="0.25">
      <c r="A39" s="68" t="s">
        <v>245</v>
      </c>
      <c r="B39" s="66" t="s">
        <v>249</v>
      </c>
      <c r="C39" s="283" t="s">
        <v>595</v>
      </c>
      <c r="D39" s="188" t="s">
        <v>95</v>
      </c>
      <c r="E39" s="38" t="s">
        <v>1061</v>
      </c>
      <c r="F39" s="188" t="s">
        <v>123</v>
      </c>
      <c r="G39" s="188" t="s">
        <v>123</v>
      </c>
      <c r="H39" s="188" t="s">
        <v>123</v>
      </c>
      <c r="I39" s="188" t="s">
        <v>123</v>
      </c>
      <c r="J39" s="188" t="s">
        <v>123</v>
      </c>
      <c r="K39" s="67">
        <f>66.3*12/'Average wages'!B31</f>
        <v>6.0271326559917508E-2</v>
      </c>
      <c r="L39" s="192">
        <f>(115.3-66.3)*12/'Average wages'!B31</f>
        <v>4.4544419327842505E-2</v>
      </c>
      <c r="M39" s="192">
        <f>((172.6-115.3+18.6)/2)*12/'Average wages'!B31</f>
        <v>3.4499198234522924E-2</v>
      </c>
      <c r="N39" s="192">
        <f>((126.2-66.3+18.6)/2)*12/'Average wages'!B31</f>
        <v>3.5680988951384045E-2</v>
      </c>
      <c r="O39" s="188" t="s">
        <v>596</v>
      </c>
      <c r="P39" s="38" t="s">
        <v>1062</v>
      </c>
      <c r="Q39" s="201" t="s">
        <v>1063</v>
      </c>
      <c r="R39" s="188" t="s">
        <v>248</v>
      </c>
      <c r="S39" s="189" t="s">
        <v>597</v>
      </c>
      <c r="T39" s="41" t="s">
        <v>95</v>
      </c>
      <c r="U39" s="41" t="s">
        <v>95</v>
      </c>
      <c r="V39" s="42" t="s">
        <v>95</v>
      </c>
    </row>
    <row r="40" spans="1:22" ht="125.4" x14ac:dyDescent="0.25">
      <c r="A40" s="68" t="s">
        <v>76</v>
      </c>
      <c r="B40" s="66" t="s">
        <v>249</v>
      </c>
      <c r="C40" s="76" t="s">
        <v>275</v>
      </c>
      <c r="D40" s="188" t="s">
        <v>95</v>
      </c>
      <c r="E40" s="38" t="s">
        <v>248</v>
      </c>
      <c r="F40" s="188" t="s">
        <v>123</v>
      </c>
      <c r="G40" s="188" t="s">
        <v>248</v>
      </c>
      <c r="H40" s="188" t="s">
        <v>123</v>
      </c>
      <c r="I40" s="188" t="s">
        <v>123</v>
      </c>
      <c r="J40" s="188" t="s">
        <v>250</v>
      </c>
      <c r="K40" s="67">
        <v>0.23449999999999999</v>
      </c>
      <c r="L40" s="192">
        <v>0.13370000000000001</v>
      </c>
      <c r="M40" s="192">
        <v>0.13835</v>
      </c>
      <c r="N40" s="192">
        <v>0.18054999999999999</v>
      </c>
      <c r="O40" s="38" t="s">
        <v>811</v>
      </c>
      <c r="P40" s="38" t="s">
        <v>123</v>
      </c>
      <c r="Q40" s="201">
        <v>1</v>
      </c>
      <c r="R40" s="188" t="s">
        <v>248</v>
      </c>
      <c r="S40" s="189" t="s">
        <v>588</v>
      </c>
      <c r="T40" s="188" t="s">
        <v>95</v>
      </c>
      <c r="U40" s="41" t="s">
        <v>95</v>
      </c>
      <c r="V40" s="189" t="s">
        <v>1064</v>
      </c>
    </row>
    <row r="41" spans="1:22" ht="22.8" x14ac:dyDescent="0.25">
      <c r="A41" s="68" t="s">
        <v>77</v>
      </c>
      <c r="B41" s="66" t="s">
        <v>1402</v>
      </c>
      <c r="C41" s="76" t="s">
        <v>694</v>
      </c>
      <c r="D41" s="188" t="s">
        <v>1208</v>
      </c>
      <c r="E41" s="38" t="s">
        <v>248</v>
      </c>
      <c r="F41" s="188" t="s">
        <v>248</v>
      </c>
      <c r="G41" s="188" t="s">
        <v>248</v>
      </c>
      <c r="H41" s="188" t="s">
        <v>123</v>
      </c>
      <c r="I41" s="188" t="s">
        <v>123</v>
      </c>
      <c r="J41" s="188" t="s">
        <v>123</v>
      </c>
      <c r="K41" s="67">
        <v>0.1749</v>
      </c>
      <c r="L41" s="192">
        <v>4.9299999999999997E-2</v>
      </c>
      <c r="M41" s="192">
        <v>3.2899999999999999E-2</v>
      </c>
      <c r="N41" s="192">
        <v>4.1099999999999998E-2</v>
      </c>
      <c r="O41" s="188" t="s">
        <v>123</v>
      </c>
      <c r="P41" s="38" t="s">
        <v>123</v>
      </c>
      <c r="Q41" s="201">
        <v>1</v>
      </c>
      <c r="R41" s="188" t="s">
        <v>248</v>
      </c>
      <c r="S41" s="189" t="s">
        <v>1209</v>
      </c>
      <c r="T41" s="41" t="s">
        <v>95</v>
      </c>
      <c r="U41" s="41" t="s">
        <v>95</v>
      </c>
      <c r="V41" s="42" t="s">
        <v>95</v>
      </c>
    </row>
    <row r="42" spans="1:22" ht="45.6" x14ac:dyDescent="0.25">
      <c r="A42" s="65" t="s">
        <v>78</v>
      </c>
      <c r="B42" s="271" t="s">
        <v>249</v>
      </c>
      <c r="C42" s="270" t="s">
        <v>276</v>
      </c>
      <c r="D42" s="41" t="s">
        <v>95</v>
      </c>
      <c r="E42" s="228" t="s">
        <v>248</v>
      </c>
      <c r="F42" s="41" t="s">
        <v>248</v>
      </c>
      <c r="G42" s="41" t="s">
        <v>248</v>
      </c>
      <c r="H42" s="41" t="s">
        <v>123</v>
      </c>
      <c r="I42" s="41" t="s">
        <v>123</v>
      </c>
      <c r="J42" s="41" t="s">
        <v>797</v>
      </c>
      <c r="K42" s="272">
        <f>(3150+1010)*12/'Average wages'!B34</f>
        <v>0.10717810019268427</v>
      </c>
      <c r="L42" s="268">
        <f>(5680-3150+1120-1010)*12/'Average wages'!B34</f>
        <v>6.8016871276126559E-2</v>
      </c>
      <c r="M42" s="268">
        <f>(2430+(1600-1120)/2)*12/'Average wages'!B34</f>
        <v>6.8789790267900719E-2</v>
      </c>
      <c r="N42" s="284">
        <f>(2430+1120-1010)*12/'Average wages'!B34</f>
        <v>6.5440474636879339E-2</v>
      </c>
      <c r="O42" s="41" t="s">
        <v>277</v>
      </c>
      <c r="P42" s="228" t="s">
        <v>123</v>
      </c>
      <c r="Q42" s="227" t="s">
        <v>817</v>
      </c>
      <c r="R42" s="41" t="s">
        <v>248</v>
      </c>
      <c r="S42" s="42" t="s">
        <v>688</v>
      </c>
      <c r="T42" s="41" t="s">
        <v>689</v>
      </c>
      <c r="U42" s="41" t="s">
        <v>690</v>
      </c>
      <c r="V42" s="42" t="s">
        <v>95</v>
      </c>
    </row>
    <row r="43" spans="1:22" ht="68.400000000000006" x14ac:dyDescent="0.25">
      <c r="A43" s="68" t="s">
        <v>79</v>
      </c>
      <c r="B43" s="66" t="s">
        <v>1031</v>
      </c>
      <c r="C43" s="76" t="s">
        <v>744</v>
      </c>
      <c r="D43" s="188" t="s">
        <v>104</v>
      </c>
      <c r="E43" s="38" t="s">
        <v>248</v>
      </c>
      <c r="F43" s="188" t="s">
        <v>248</v>
      </c>
      <c r="G43" s="188" t="s">
        <v>248</v>
      </c>
      <c r="H43" s="188" t="s">
        <v>123</v>
      </c>
      <c r="I43" s="188" t="s">
        <v>743</v>
      </c>
      <c r="J43" s="188" t="s">
        <v>798</v>
      </c>
      <c r="K43" s="67">
        <f>11964/'Average wages'!B35</f>
        <v>0.13694606759781919</v>
      </c>
      <c r="L43" s="192">
        <f>(18300-11964)/'Average wages'!B35</f>
        <v>7.2525098988614367E-2</v>
      </c>
      <c r="M43" s="192">
        <f>(25608-18300)/2/'Average wages'!B35</f>
        <v>4.1825554246274765E-2</v>
      </c>
      <c r="N43" s="192">
        <f>(22248-11964)/2/'Average wages'!B35</f>
        <v>5.8857963857237232E-2</v>
      </c>
      <c r="O43" s="188" t="s">
        <v>278</v>
      </c>
      <c r="P43" s="38" t="str">
        <f>"CHF 400/month ("&amp;TEXT(100*400*12/'Average wages'!B35,0)&amp;"% of AW) (CHF 850/month per household, "&amp;TEXT(100*850*12/'Average wages'!B35,0)&amp;"% of AW)"</f>
        <v>CHF 400/month (5% of AW) (CHF 850/month per household, 12% of AW)</v>
      </c>
      <c r="Q43" s="201">
        <v>1</v>
      </c>
      <c r="R43" s="188" t="s">
        <v>248</v>
      </c>
      <c r="S43" s="189" t="s">
        <v>279</v>
      </c>
      <c r="T43" s="41" t="s">
        <v>824</v>
      </c>
      <c r="U43" s="41" t="s">
        <v>95</v>
      </c>
      <c r="V43" s="42" t="s">
        <v>95</v>
      </c>
    </row>
    <row r="44" spans="1:22" ht="34.200000000000003" x14ac:dyDescent="0.25">
      <c r="A44" s="68" t="s">
        <v>80</v>
      </c>
      <c r="B44" s="66" t="s">
        <v>249</v>
      </c>
      <c r="C44" s="66" t="s">
        <v>1150</v>
      </c>
      <c r="D44" s="188"/>
      <c r="E44" s="38"/>
      <c r="F44" s="188"/>
      <c r="G44" s="188"/>
      <c r="H44" s="188"/>
      <c r="I44" s="188"/>
      <c r="J44" s="188"/>
      <c r="K44" s="67"/>
      <c r="L44" s="192"/>
      <c r="M44" s="192"/>
      <c r="N44" s="192"/>
      <c r="O44" s="188"/>
      <c r="P44" s="38"/>
      <c r="Q44" s="201"/>
      <c r="R44" s="188"/>
      <c r="S44" s="189"/>
      <c r="T44" s="41"/>
      <c r="U44" s="41"/>
      <c r="V44" s="42"/>
    </row>
    <row r="45" spans="1:22" ht="45.6" x14ac:dyDescent="0.25">
      <c r="A45" s="68" t="s">
        <v>1229</v>
      </c>
      <c r="B45" s="271" t="s">
        <v>249</v>
      </c>
      <c r="C45" s="270" t="str">
        <f>'Unemployment Assistance'!B49</f>
        <v xml:space="preserve">Universal Credit </v>
      </c>
      <c r="D45" s="41" t="s">
        <v>1220</v>
      </c>
      <c r="E45" s="228" t="s">
        <v>248</v>
      </c>
      <c r="F45" s="41" t="s">
        <v>248</v>
      </c>
      <c r="G45" s="41" t="s">
        <v>248</v>
      </c>
      <c r="H45" s="41" t="s">
        <v>123</v>
      </c>
      <c r="I45" s="41" t="s">
        <v>123</v>
      </c>
      <c r="J45" s="41" t="s">
        <v>1221</v>
      </c>
      <c r="K45" s="272">
        <f>409.89*12/'Average wages'!B37</f>
        <v>0.11765126669584121</v>
      </c>
      <c r="L45" s="268">
        <f>(594.04-409.89)*12/'Average wages'!B37</f>
        <v>5.2856817102244887E-2</v>
      </c>
      <c r="M45" s="268">
        <f>(281.25+235.83)/2*12/'Average wages'!B37</f>
        <v>7.4209076804856888E-2</v>
      </c>
      <c r="N45" s="268">
        <f>(281.25+235.83)/2*12/'Average wages'!B37</f>
        <v>7.4209076804856888E-2</v>
      </c>
      <c r="O45" s="41" t="s">
        <v>1222</v>
      </c>
      <c r="P45" s="228" t="str">
        <f>"GBP 512 ("&amp;TEXT(512*12*100/'Average wages'!B37,"0.0")&amp;"% of AW) per month for those with children or limited capacity to work"</f>
        <v>GBP 512 (14.7% of AW) per month for those with children or limited capacity to work</v>
      </c>
      <c r="Q45" s="201" t="s">
        <v>1216</v>
      </c>
      <c r="R45" s="41" t="s">
        <v>248</v>
      </c>
      <c r="S45" s="42" t="s">
        <v>1223</v>
      </c>
      <c r="T45" s="41" t="str">
        <f>'Unemployment Assistance'!L49</f>
        <v>G: - lower benefit amounts for under 25 year-olds</v>
      </c>
      <c r="U45" s="41" t="s">
        <v>95</v>
      </c>
      <c r="V45" s="42" t="s">
        <v>1224</v>
      </c>
    </row>
    <row r="46" spans="1:22" ht="91.2" x14ac:dyDescent="0.25">
      <c r="A46" s="278" t="s">
        <v>1417</v>
      </c>
      <c r="B46" s="69" t="s">
        <v>249</v>
      </c>
      <c r="C46" s="69" t="s">
        <v>280</v>
      </c>
      <c r="D46" s="70" t="s">
        <v>95</v>
      </c>
      <c r="E46" s="71" t="s">
        <v>123</v>
      </c>
      <c r="F46" s="70" t="s">
        <v>123</v>
      </c>
      <c r="G46" s="70" t="s">
        <v>123</v>
      </c>
      <c r="H46" s="70" t="s">
        <v>123</v>
      </c>
      <c r="I46" s="70" t="s">
        <v>698</v>
      </c>
      <c r="J46" s="70" t="s">
        <v>123</v>
      </c>
      <c r="K46" s="67">
        <f>194*12/'Average wages'!B38</f>
        <v>3.8658004435053205E-2</v>
      </c>
      <c r="L46" s="268">
        <f>(355-194)*12/'Average wages'!B38</f>
        <v>3.2082158319812197E-2</v>
      </c>
      <c r="M46" s="268">
        <f>(646-355)/2*12/'Average wages'!B38</f>
        <v>2.8993503326289905E-2</v>
      </c>
      <c r="N46" s="268">
        <f>(509-194)/2*12/'Average wages'!B38</f>
        <v>3.138472009546845E-2</v>
      </c>
      <c r="O46" s="70" t="s">
        <v>123</v>
      </c>
      <c r="P46" s="71" t="str">
        <f>"USD 167/month ("&amp;TEXT(100*167*12/'Average wages'!B38,0)&amp;"% of AW) for households with 3 people or fewer
USD 178/month ("&amp;TEXT(100*178*12/'Average wages'!B38,0)&amp;"% of AW) for 4-person households
USD 209/month ("&amp;TEXT(100*209*12/'Average wages'!B38,0)&amp;"% of AW) for 5-person households
USD 240/month ("&amp;TEXT(100*240*12/'Average wages'!B38,0)&amp;"% of AW) for households of 6 people or more"</f>
        <v>USD 167/month (3% of AW) for households with 3 people or fewer
USD 178/month (4% of AW) for 4-person households
USD 209/month (4% of AW) for 5-person households
USD 240/month (5% of AW) for households of 6 people or more</v>
      </c>
      <c r="Q46" s="72" t="s">
        <v>1033</v>
      </c>
      <c r="R46" s="70" t="s">
        <v>248</v>
      </c>
      <c r="S46" s="73" t="s">
        <v>699</v>
      </c>
      <c r="T46" s="285" t="s">
        <v>95</v>
      </c>
      <c r="U46" s="41" t="s">
        <v>95</v>
      </c>
      <c r="V46" s="42" t="s">
        <v>95</v>
      </c>
    </row>
    <row r="47" spans="1:22" x14ac:dyDescent="0.25">
      <c r="A47" s="21" t="s">
        <v>1149</v>
      </c>
      <c r="B47" s="69"/>
      <c r="C47" s="69"/>
      <c r="D47" s="70"/>
      <c r="E47" s="71"/>
      <c r="F47" s="70"/>
      <c r="G47" s="70"/>
      <c r="H47" s="70"/>
      <c r="I47" s="70"/>
      <c r="J47" s="70"/>
      <c r="K47" s="74"/>
      <c r="L47" s="75"/>
      <c r="M47" s="75"/>
      <c r="N47" s="75"/>
      <c r="O47" s="70"/>
      <c r="P47" s="70"/>
      <c r="Q47" s="72"/>
      <c r="R47" s="70"/>
      <c r="S47" s="70"/>
      <c r="T47" s="70"/>
      <c r="U47" s="70"/>
      <c r="V47" s="73"/>
    </row>
    <row r="48" spans="1:22" ht="148.19999999999999" x14ac:dyDescent="0.25">
      <c r="A48" s="256" t="s">
        <v>83</v>
      </c>
      <c r="B48" s="271" t="s">
        <v>249</v>
      </c>
      <c r="C48" s="270" t="s">
        <v>281</v>
      </c>
      <c r="D48" s="41">
        <v>17</v>
      </c>
      <c r="E48" s="287" t="s">
        <v>248</v>
      </c>
      <c r="F48" s="41" t="s">
        <v>248</v>
      </c>
      <c r="G48" s="41" t="s">
        <v>248</v>
      </c>
      <c r="H48" s="41" t="s">
        <v>104</v>
      </c>
      <c r="I48" s="41" t="s">
        <v>1065</v>
      </c>
      <c r="J48" s="41" t="s">
        <v>799</v>
      </c>
      <c r="K48" s="272">
        <v>4.1399999999999999E-2</v>
      </c>
      <c r="L48" s="268">
        <v>3.3399999999999999E-2</v>
      </c>
      <c r="M48" s="268">
        <v>5.16E-2</v>
      </c>
      <c r="N48" s="284">
        <v>5.9249999999999997E-2</v>
      </c>
      <c r="O48" s="41" t="s">
        <v>1066</v>
      </c>
      <c r="P48" s="228" t="s">
        <v>123</v>
      </c>
      <c r="Q48" s="227">
        <v>1</v>
      </c>
      <c r="R48" s="41" t="s">
        <v>248</v>
      </c>
      <c r="S48" s="42" t="s">
        <v>123</v>
      </c>
      <c r="T48" s="41" t="s">
        <v>95</v>
      </c>
      <c r="U48" s="41" t="s">
        <v>283</v>
      </c>
      <c r="V48" s="42" t="s">
        <v>95</v>
      </c>
    </row>
    <row r="49" spans="1:22" ht="45.6" x14ac:dyDescent="0.25">
      <c r="A49" s="256" t="s">
        <v>84</v>
      </c>
      <c r="B49" s="66" t="s">
        <v>249</v>
      </c>
      <c r="C49" s="280" t="s">
        <v>1299</v>
      </c>
      <c r="D49" s="188" t="s">
        <v>123</v>
      </c>
      <c r="E49" s="38" t="s">
        <v>248</v>
      </c>
      <c r="F49" s="188" t="s">
        <v>123</v>
      </c>
      <c r="G49" s="188" t="s">
        <v>123</v>
      </c>
      <c r="H49" s="188" t="s">
        <v>123</v>
      </c>
      <c r="I49" s="188" t="s">
        <v>123</v>
      </c>
      <c r="J49" s="188" t="s">
        <v>123</v>
      </c>
      <c r="K49" s="67">
        <f>800*12/'Average wages'!B41</f>
        <v>9.2740795578245022E-2</v>
      </c>
      <c r="L49" s="192">
        <f>800*(0.6*2-1)*12/'Average wages'!B41</f>
        <v>1.8548159115648999E-2</v>
      </c>
      <c r="M49" s="192">
        <f>800*0.4*12/'Average wages'!B41</f>
        <v>3.7096318231298005E-2</v>
      </c>
      <c r="N49" s="192">
        <f>800*0.55*12/'Average wages'!B41</f>
        <v>5.1007437568034768E-2</v>
      </c>
      <c r="O49" s="188" t="s">
        <v>808</v>
      </c>
      <c r="P49" s="38" t="s">
        <v>123</v>
      </c>
      <c r="Q49" s="201">
        <v>1</v>
      </c>
      <c r="R49" s="188" t="s">
        <v>248</v>
      </c>
      <c r="S49" s="189" t="s">
        <v>1300</v>
      </c>
      <c r="T49" s="188" t="s">
        <v>95</v>
      </c>
      <c r="U49" s="41" t="s">
        <v>95</v>
      </c>
      <c r="V49" s="42" t="s">
        <v>95</v>
      </c>
    </row>
    <row r="50" spans="1:22" ht="57" x14ac:dyDescent="0.25">
      <c r="A50" s="256" t="s">
        <v>585</v>
      </c>
      <c r="B50" s="66" t="s">
        <v>249</v>
      </c>
      <c r="C50" s="280" t="s">
        <v>639</v>
      </c>
      <c r="D50" s="188" t="s">
        <v>789</v>
      </c>
      <c r="E50" s="38" t="s">
        <v>248</v>
      </c>
      <c r="F50" s="188" t="s">
        <v>248</v>
      </c>
      <c r="G50" s="188" t="s">
        <v>248</v>
      </c>
      <c r="H50" s="188" t="s">
        <v>123</v>
      </c>
      <c r="I50" s="188" t="s">
        <v>123</v>
      </c>
      <c r="J50" s="188" t="s">
        <v>123</v>
      </c>
      <c r="K50" s="67">
        <f>480*12/'Average wages'!B42</f>
        <v>0.24867424194868534</v>
      </c>
      <c r="L50" s="192">
        <f>480*0.5*12/'Average wages'!B42</f>
        <v>0.12433712097434267</v>
      </c>
      <c r="M50" s="192">
        <f>480*0.3*12/'Average wages'!B42</f>
        <v>7.4602272584605597E-2</v>
      </c>
      <c r="N50" s="192">
        <f>480*0.3*12/'Average wages'!B42</f>
        <v>7.4602272584605597E-2</v>
      </c>
      <c r="O50" s="188" t="s">
        <v>809</v>
      </c>
      <c r="P50" s="38" t="str">
        <f>"100% up to EUR 50 per month; 40% up to EUR 200; 20% up to EUR 500 (total "&amp;TEXT(170*12/'Average wages'!B42,"0%")&amp;" of AW)"</f>
        <v>100% up to EUR 50 per month; 40% up to EUR 200; 20% up to EUR 500 (total 9% of AW)</v>
      </c>
      <c r="Q50" s="201" t="s">
        <v>1301</v>
      </c>
      <c r="R50" s="188" t="s">
        <v>248</v>
      </c>
      <c r="S50" s="189" t="s">
        <v>1302</v>
      </c>
      <c r="T50" s="188" t="s">
        <v>825</v>
      </c>
      <c r="U50" s="41" t="s">
        <v>95</v>
      </c>
      <c r="V50" s="42" t="s">
        <v>1303</v>
      </c>
    </row>
    <row r="51" spans="1:22" ht="148.19999999999999" x14ac:dyDescent="0.25">
      <c r="A51" s="281" t="s">
        <v>192</v>
      </c>
      <c r="B51" s="271" t="s">
        <v>249</v>
      </c>
      <c r="C51" s="270" t="s">
        <v>1069</v>
      </c>
      <c r="D51" s="41">
        <v>18</v>
      </c>
      <c r="E51" s="228" t="s">
        <v>248</v>
      </c>
      <c r="F51" s="41" t="s">
        <v>123</v>
      </c>
      <c r="G51" s="41" t="s">
        <v>248</v>
      </c>
      <c r="H51" s="41" t="s">
        <v>123</v>
      </c>
      <c r="I51" s="41" t="s">
        <v>123</v>
      </c>
      <c r="J51" s="41" t="s">
        <v>123</v>
      </c>
      <c r="K51" s="272">
        <v>0.21740000000000001</v>
      </c>
      <c r="L51" s="268">
        <v>1.6299999999999999E-2</v>
      </c>
      <c r="M51" s="268">
        <v>1.6400000000000001E-2</v>
      </c>
      <c r="N51" s="288">
        <v>1.635E-2</v>
      </c>
      <c r="O51" s="41" t="str">
        <f>"Yes. 
- Two bonuses: the Additional Bonus and the Half yearly bonus. The total amount per year is equal to "&amp;TEXT((13.42+22.52)*12*100/'Average wages'!B43,0)&amp;"% of AW.
- The 'Supplementary Allowance' may be also available for SA recipients. Maximum amounts depend on the family composition and economic activity status. For a single person without work the maximum benefit is "&amp;TEXT(237.61*100/'Average wages'!B43,0)&amp;"% of AW"</f>
        <v>Yes. 
- Two bonuses: the Additional Bonus and the Half yearly bonus. The total amount per year is equal to 2% of AW.
- The 'Supplementary Allowance' may be also available for SA recipients. Maximum amounts depend on the family composition and economic activity status. For a single person without work the maximum benefit is 1% of AW</v>
      </c>
      <c r="P51" s="228" t="s">
        <v>1070</v>
      </c>
      <c r="Q51" s="227">
        <v>1</v>
      </c>
      <c r="R51" s="41" t="s">
        <v>248</v>
      </c>
      <c r="S51" s="42" t="s">
        <v>123</v>
      </c>
      <c r="T51" s="41" t="s">
        <v>95</v>
      </c>
      <c r="U51" s="41" t="s">
        <v>95</v>
      </c>
      <c r="V51" s="42" t="s">
        <v>653</v>
      </c>
    </row>
    <row r="52" spans="1:22" ht="57" x14ac:dyDescent="0.25">
      <c r="A52" s="65" t="s">
        <v>87</v>
      </c>
      <c r="B52" s="289" t="s">
        <v>249</v>
      </c>
      <c r="C52" s="290" t="s">
        <v>284</v>
      </c>
      <c r="D52" s="291" t="s">
        <v>1067</v>
      </c>
      <c r="E52" s="292" t="s">
        <v>104</v>
      </c>
      <c r="F52" s="293" t="s">
        <v>123</v>
      </c>
      <c r="G52" s="293" t="s">
        <v>123</v>
      </c>
      <c r="H52" s="293" t="s">
        <v>248</v>
      </c>
      <c r="I52" s="293" t="s">
        <v>123</v>
      </c>
      <c r="J52" s="293" t="s">
        <v>123</v>
      </c>
      <c r="K52" s="67">
        <v>2.6200000000000001E-2</v>
      </c>
      <c r="L52" s="192">
        <v>2.0799999999999999E-2</v>
      </c>
      <c r="M52" s="192">
        <v>1.72E-2</v>
      </c>
      <c r="N52" s="267">
        <v>1.9800000000000002E-2</v>
      </c>
      <c r="O52" s="293" t="s">
        <v>123</v>
      </c>
      <c r="P52" s="292" t="s">
        <v>1068</v>
      </c>
      <c r="Q52" s="227">
        <v>1</v>
      </c>
      <c r="R52" s="293" t="s">
        <v>248</v>
      </c>
      <c r="S52" s="294" t="s">
        <v>285</v>
      </c>
      <c r="T52" s="293" t="s">
        <v>95</v>
      </c>
      <c r="U52" s="293" t="s">
        <v>95</v>
      </c>
      <c r="V52" s="294" t="s">
        <v>286</v>
      </c>
    </row>
    <row r="53" spans="1:22" x14ac:dyDescent="0.25">
      <c r="A53" s="130"/>
      <c r="B53" s="130"/>
      <c r="C53" s="202"/>
      <c r="D53" s="203"/>
      <c r="E53" s="204"/>
      <c r="F53" s="204"/>
      <c r="G53" s="204"/>
      <c r="H53" s="204"/>
      <c r="I53" s="204"/>
      <c r="J53" s="204"/>
      <c r="K53" s="204"/>
      <c r="L53" s="205"/>
      <c r="M53" s="205"/>
      <c r="N53" s="205"/>
      <c r="O53" s="206"/>
      <c r="P53" s="204"/>
      <c r="Q53" s="204"/>
      <c r="R53" s="204"/>
      <c r="S53" s="204"/>
      <c r="T53" s="204"/>
      <c r="U53" s="204"/>
      <c r="V53" s="204"/>
    </row>
    <row r="54" spans="1:22" x14ac:dyDescent="0.25">
      <c r="A54" s="78" t="s">
        <v>88</v>
      </c>
      <c r="B54" s="78"/>
      <c r="C54" s="79"/>
      <c r="D54" s="82"/>
      <c r="E54" s="29"/>
      <c r="F54" s="80"/>
      <c r="G54" s="81"/>
      <c r="H54" s="81"/>
      <c r="I54" s="81"/>
      <c r="J54" s="81"/>
      <c r="K54" s="29"/>
      <c r="L54" s="29"/>
      <c r="M54" s="29"/>
      <c r="N54" s="29"/>
      <c r="O54" s="29"/>
      <c r="P54" s="82"/>
      <c r="Q54" s="83"/>
      <c r="R54" s="83"/>
      <c r="S54" s="83"/>
      <c r="T54" s="83"/>
    </row>
    <row r="55" spans="1:22" x14ac:dyDescent="0.25">
      <c r="A55" s="555" t="s">
        <v>89</v>
      </c>
      <c r="B55" s="555"/>
      <c r="C55" s="555"/>
      <c r="D55" s="555"/>
      <c r="E55" s="555"/>
      <c r="F55" s="555"/>
      <c r="G55" s="555"/>
      <c r="H55" s="555"/>
      <c r="I55" s="555"/>
      <c r="J55" s="555"/>
      <c r="K55" s="555"/>
      <c r="L55" s="555"/>
      <c r="M55" s="555"/>
      <c r="N55" s="555"/>
      <c r="O55" s="555"/>
      <c r="P55" s="84"/>
      <c r="Q55" s="555"/>
      <c r="R55" s="555"/>
      <c r="S55" s="555"/>
      <c r="T55" s="555"/>
      <c r="U55" s="555"/>
      <c r="V55" s="555"/>
    </row>
    <row r="56" spans="1:22" x14ac:dyDescent="0.25">
      <c r="A56" s="31" t="s">
        <v>288</v>
      </c>
      <c r="B56" s="31"/>
      <c r="C56" s="79"/>
      <c r="D56" s="29"/>
      <c r="E56" s="29"/>
      <c r="F56" s="80"/>
      <c r="G56" s="81"/>
      <c r="H56" s="81"/>
      <c r="I56" s="81"/>
      <c r="J56" s="81"/>
      <c r="K56" s="29"/>
      <c r="L56" s="29"/>
      <c r="M56" s="29"/>
      <c r="N56" s="29"/>
      <c r="O56" s="29"/>
      <c r="P56" s="82"/>
      <c r="Q56" s="83"/>
      <c r="R56" s="83"/>
      <c r="S56" s="83"/>
      <c r="T56" s="83"/>
    </row>
    <row r="57" spans="1:22" ht="12.75" customHeight="1" x14ac:dyDescent="0.25">
      <c r="A57" s="608" t="s">
        <v>1399</v>
      </c>
      <c r="B57" s="608"/>
      <c r="C57" s="608"/>
      <c r="D57" s="608"/>
      <c r="E57" s="608"/>
      <c r="F57" s="608"/>
      <c r="G57" s="608"/>
      <c r="H57" s="608"/>
      <c r="I57" s="608"/>
      <c r="J57" s="608"/>
      <c r="K57" s="608"/>
      <c r="L57" s="608"/>
      <c r="M57" s="608"/>
      <c r="N57" s="608"/>
      <c r="O57" s="608"/>
      <c r="P57" s="608"/>
      <c r="Q57" s="608"/>
      <c r="R57" s="608"/>
      <c r="S57" s="608"/>
      <c r="T57" s="608"/>
      <c r="U57" s="608"/>
      <c r="V57" s="608"/>
    </row>
    <row r="58" spans="1:22" x14ac:dyDescent="0.25">
      <c r="A58" s="25" t="s">
        <v>289</v>
      </c>
      <c r="B58" s="25"/>
      <c r="P58" s="85"/>
    </row>
    <row r="59" spans="1:22" x14ac:dyDescent="0.25">
      <c r="A59" s="25" t="s">
        <v>1230</v>
      </c>
      <c r="B59" s="25"/>
      <c r="P59" s="85"/>
    </row>
    <row r="60" spans="1:22" x14ac:dyDescent="0.25">
      <c r="A60" s="555" t="s">
        <v>614</v>
      </c>
      <c r="B60" s="555"/>
      <c r="P60" s="85"/>
    </row>
    <row r="61" spans="1:22" x14ac:dyDescent="0.25">
      <c r="A61" s="555" t="s">
        <v>635</v>
      </c>
      <c r="B61" s="555"/>
      <c r="P61" s="85"/>
    </row>
    <row r="62" spans="1:22" x14ac:dyDescent="0.25">
      <c r="A62" s="25" t="s">
        <v>615</v>
      </c>
      <c r="B62" s="25"/>
      <c r="P62" s="85"/>
    </row>
    <row r="63" spans="1:22" x14ac:dyDescent="0.25">
      <c r="A63" s="25" t="s">
        <v>663</v>
      </c>
      <c r="B63" s="25"/>
      <c r="P63" s="85"/>
    </row>
    <row r="64" spans="1:22" x14ac:dyDescent="0.25">
      <c r="A64" s="25" t="s">
        <v>678</v>
      </c>
      <c r="B64" s="25"/>
      <c r="P64" s="85"/>
    </row>
    <row r="65" spans="1:16" x14ac:dyDescent="0.25">
      <c r="A65" s="25" t="s">
        <v>1431</v>
      </c>
      <c r="B65" s="25"/>
      <c r="P65" s="85"/>
    </row>
    <row r="66" spans="1:16" x14ac:dyDescent="0.25">
      <c r="A66" s="25"/>
      <c r="B66" s="25"/>
      <c r="P66" s="85"/>
    </row>
    <row r="67" spans="1:16" x14ac:dyDescent="0.25">
      <c r="A67" s="1" t="s">
        <v>91</v>
      </c>
      <c r="B67" s="295" t="s">
        <v>6</v>
      </c>
      <c r="P67" s="85"/>
    </row>
  </sheetData>
  <autoFilter ref="A11:A52" xr:uid="{00000000-0009-0000-0000-000003000000}"/>
  <mergeCells count="12">
    <mergeCell ref="A57:V57"/>
    <mergeCell ref="A1:V1"/>
    <mergeCell ref="A2:V2"/>
    <mergeCell ref="C7:C9"/>
    <mergeCell ref="D7:D9"/>
    <mergeCell ref="E7:J8"/>
    <mergeCell ref="K7:S7"/>
    <mergeCell ref="T7:V8"/>
    <mergeCell ref="K8:O8"/>
    <mergeCell ref="P8:S8"/>
    <mergeCell ref="A3:V3"/>
    <mergeCell ref="B7:B9"/>
  </mergeCells>
  <hyperlinks>
    <hyperlink ref="B67" r:id="rId1" xr:uid="{00000000-0004-0000-03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63"/>
  <sheetViews>
    <sheetView zoomScale="80" zoomScaleNormal="80" workbookViewId="0">
      <pane xSplit="1" ySplit="11" topLeftCell="B12" activePane="bottomRight" state="frozen"/>
      <selection pane="topRight" activeCell="B1" sqref="B1"/>
      <selection pane="bottomLeft" activeCell="A12" sqref="A12"/>
      <selection pane="bottomRight" activeCell="B30" sqref="B30"/>
    </sheetView>
  </sheetViews>
  <sheetFormatPr defaultColWidth="8.6640625" defaultRowHeight="13.2" x14ac:dyDescent="0.25"/>
  <cols>
    <col min="1" max="1" width="20" style="23" bestFit="1" customWidth="1"/>
    <col min="2" max="2" width="24.88671875" style="23" customWidth="1"/>
    <col min="3" max="7" width="8.6640625" style="23"/>
    <col min="8" max="8" width="86.109375" style="23" customWidth="1"/>
    <col min="9" max="9" width="35.88671875" style="23" customWidth="1"/>
    <col min="10" max="10" width="38.5546875" style="23" bestFit="1" customWidth="1"/>
    <col min="11" max="16384" width="8.6640625" style="23"/>
  </cols>
  <sheetData>
    <row r="1" spans="1:10" ht="19.2" x14ac:dyDescent="0.3">
      <c r="A1" s="631" t="s">
        <v>290</v>
      </c>
      <c r="B1" s="631"/>
      <c r="C1" s="631"/>
      <c r="D1" s="631"/>
      <c r="E1" s="631"/>
      <c r="F1" s="631"/>
      <c r="G1" s="631"/>
      <c r="H1" s="631"/>
      <c r="I1" s="631"/>
      <c r="J1" s="631"/>
    </row>
    <row r="2" spans="1:10" ht="17.399999999999999" x14ac:dyDescent="0.25">
      <c r="A2" s="632">
        <v>2020</v>
      </c>
      <c r="B2" s="632"/>
      <c r="C2" s="632"/>
      <c r="D2" s="632"/>
      <c r="E2" s="632"/>
      <c r="F2" s="632"/>
      <c r="G2" s="632"/>
      <c r="H2" s="632"/>
      <c r="I2" s="632"/>
      <c r="J2" s="632"/>
    </row>
    <row r="3" spans="1:10" ht="17.399999999999999" x14ac:dyDescent="0.25">
      <c r="A3" s="548"/>
      <c r="B3" s="548"/>
      <c r="C3" s="548"/>
      <c r="D3" s="548"/>
      <c r="E3" s="548"/>
      <c r="F3" s="548"/>
      <c r="G3" s="548"/>
      <c r="H3" s="548"/>
      <c r="I3" s="548"/>
      <c r="J3" s="548"/>
    </row>
    <row r="4" spans="1:10" ht="12" hidden="1" customHeight="1" x14ac:dyDescent="0.25">
      <c r="A4" s="6" t="s">
        <v>5</v>
      </c>
      <c r="B4" s="6" t="s">
        <v>8</v>
      </c>
      <c r="C4" s="6" t="s">
        <v>8</v>
      </c>
      <c r="D4" s="6" t="s">
        <v>8</v>
      </c>
      <c r="E4" s="6" t="s">
        <v>8</v>
      </c>
      <c r="F4" s="6" t="s">
        <v>8</v>
      </c>
      <c r="G4" s="6" t="s">
        <v>8</v>
      </c>
      <c r="H4" s="6" t="s">
        <v>8</v>
      </c>
      <c r="I4" s="6" t="s">
        <v>9</v>
      </c>
      <c r="J4" s="6" t="s">
        <v>8</v>
      </c>
    </row>
    <row r="5" spans="1:10" hidden="1" x14ac:dyDescent="0.25">
      <c r="A5" s="54" t="s">
        <v>10</v>
      </c>
      <c r="B5" s="114" t="s">
        <v>291</v>
      </c>
      <c r="C5" s="114" t="s">
        <v>292</v>
      </c>
      <c r="D5" s="114" t="s">
        <v>293</v>
      </c>
      <c r="E5" s="114" t="s">
        <v>294</v>
      </c>
      <c r="F5" s="114" t="s">
        <v>295</v>
      </c>
      <c r="G5" s="114" t="s">
        <v>296</v>
      </c>
      <c r="H5" s="114" t="s">
        <v>297</v>
      </c>
      <c r="I5" s="86" t="s">
        <v>298</v>
      </c>
      <c r="J5" s="555" t="s">
        <v>299</v>
      </c>
    </row>
    <row r="6" spans="1:10" x14ac:dyDescent="0.25">
      <c r="A6" s="549"/>
      <c r="B6" s="633" t="s">
        <v>300</v>
      </c>
      <c r="C6" s="634"/>
      <c r="D6" s="634"/>
      <c r="E6" s="634"/>
      <c r="F6" s="634"/>
      <c r="G6" s="634"/>
      <c r="H6" s="634"/>
      <c r="I6" s="635"/>
      <c r="J6" s="636" t="s">
        <v>301</v>
      </c>
    </row>
    <row r="7" spans="1:10" x14ac:dyDescent="0.25">
      <c r="A7" s="94"/>
      <c r="B7" s="628"/>
      <c r="C7" s="629"/>
      <c r="D7" s="629"/>
      <c r="E7" s="629"/>
      <c r="F7" s="629"/>
      <c r="G7" s="629"/>
      <c r="H7" s="629"/>
      <c r="I7" s="630"/>
      <c r="J7" s="637"/>
    </row>
    <row r="8" spans="1:10" x14ac:dyDescent="0.25">
      <c r="A8" s="94"/>
      <c r="B8" s="636" t="s">
        <v>173</v>
      </c>
      <c r="C8" s="638" t="s">
        <v>302</v>
      </c>
      <c r="D8" s="638"/>
      <c r="E8" s="638"/>
      <c r="F8" s="638"/>
      <c r="G8" s="639"/>
      <c r="H8" s="640" t="s">
        <v>1403</v>
      </c>
      <c r="I8" s="636" t="s">
        <v>308</v>
      </c>
      <c r="J8" s="637"/>
    </row>
    <row r="9" spans="1:10" ht="39.6" x14ac:dyDescent="0.25">
      <c r="A9" s="94"/>
      <c r="B9" s="637"/>
      <c r="C9" s="89" t="s">
        <v>303</v>
      </c>
      <c r="D9" s="89" t="s">
        <v>304</v>
      </c>
      <c r="E9" s="89" t="s">
        <v>305</v>
      </c>
      <c r="F9" s="89" t="s">
        <v>306</v>
      </c>
      <c r="G9" s="90" t="s">
        <v>307</v>
      </c>
      <c r="H9" s="641"/>
      <c r="I9" s="637"/>
      <c r="J9" s="637"/>
    </row>
    <row r="10" spans="1:10" x14ac:dyDescent="0.25">
      <c r="A10" s="547"/>
      <c r="B10" s="88" t="s">
        <v>39</v>
      </c>
      <c r="C10" s="628" t="s">
        <v>40</v>
      </c>
      <c r="D10" s="629"/>
      <c r="E10" s="629"/>
      <c r="F10" s="629"/>
      <c r="G10" s="630"/>
      <c r="H10" s="546" t="s">
        <v>41</v>
      </c>
      <c r="I10" s="88" t="s">
        <v>42</v>
      </c>
      <c r="J10" s="88" t="s">
        <v>43</v>
      </c>
    </row>
    <row r="11" spans="1:10" x14ac:dyDescent="0.25">
      <c r="A11" s="557" t="s">
        <v>53</v>
      </c>
      <c r="B11" s="91"/>
      <c r="C11" s="92"/>
      <c r="D11" s="93"/>
      <c r="E11" s="93"/>
      <c r="F11" s="93"/>
      <c r="G11" s="94"/>
      <c r="H11" s="92"/>
      <c r="I11" s="95"/>
      <c r="J11" s="96"/>
    </row>
    <row r="12" spans="1:10" ht="45.6" x14ac:dyDescent="0.25">
      <c r="A12" s="97" t="s">
        <v>309</v>
      </c>
      <c r="B12" s="106" t="s">
        <v>1073</v>
      </c>
      <c r="C12" s="99" t="s">
        <v>248</v>
      </c>
      <c r="D12" s="100" t="s">
        <v>248</v>
      </c>
      <c r="E12" s="100" t="s">
        <v>123</v>
      </c>
      <c r="F12" s="100" t="s">
        <v>123</v>
      </c>
      <c r="G12" s="101" t="s">
        <v>248</v>
      </c>
      <c r="H12" s="102" t="s">
        <v>1074</v>
      </c>
      <c r="I12" s="103">
        <f>162.12*26/'Average wages'!B4</f>
        <v>4.6390860765344863E-2</v>
      </c>
      <c r="J12" s="104" t="s">
        <v>104</v>
      </c>
    </row>
    <row r="13" spans="1:10" ht="22.8" x14ac:dyDescent="0.25">
      <c r="A13" s="105" t="s">
        <v>1405</v>
      </c>
      <c r="B13" s="106" t="s">
        <v>625</v>
      </c>
      <c r="C13" s="99" t="s">
        <v>248</v>
      </c>
      <c r="D13" s="100" t="s">
        <v>248</v>
      </c>
      <c r="E13" s="100" t="s">
        <v>248</v>
      </c>
      <c r="F13" s="100" t="s">
        <v>248</v>
      </c>
      <c r="G13" s="101" t="s">
        <v>248</v>
      </c>
      <c r="H13" s="102" t="s">
        <v>626</v>
      </c>
      <c r="I13" s="103">
        <v>8.8599999999999998E-2</v>
      </c>
      <c r="J13" s="104" t="s">
        <v>627</v>
      </c>
    </row>
    <row r="14" spans="1:10" ht="34.200000000000003" x14ac:dyDescent="0.25">
      <c r="A14" s="105" t="s">
        <v>240</v>
      </c>
      <c r="B14" s="98" t="s">
        <v>317</v>
      </c>
      <c r="C14" s="99" t="s">
        <v>95</v>
      </c>
      <c r="D14" s="100" t="s">
        <v>95</v>
      </c>
      <c r="E14" s="100" t="s">
        <v>95</v>
      </c>
      <c r="F14" s="100" t="s">
        <v>95</v>
      </c>
      <c r="G14" s="101" t="s">
        <v>95</v>
      </c>
      <c r="H14" s="296" t="s">
        <v>311</v>
      </c>
      <c r="I14" s="297" t="s">
        <v>95</v>
      </c>
      <c r="J14" s="98" t="s">
        <v>964</v>
      </c>
    </row>
    <row r="15" spans="1:10" ht="57" x14ac:dyDescent="0.25">
      <c r="A15" s="105" t="s">
        <v>310</v>
      </c>
      <c r="B15" s="98" t="s">
        <v>317</v>
      </c>
      <c r="C15" s="99" t="s">
        <v>95</v>
      </c>
      <c r="D15" s="100" t="s">
        <v>95</v>
      </c>
      <c r="E15" s="100" t="s">
        <v>95</v>
      </c>
      <c r="F15" s="100" t="s">
        <v>95</v>
      </c>
      <c r="G15" s="101" t="s">
        <v>95</v>
      </c>
      <c r="H15" s="296" t="s">
        <v>311</v>
      </c>
      <c r="I15" s="297" t="s">
        <v>95</v>
      </c>
      <c r="J15" s="98" t="s">
        <v>312</v>
      </c>
    </row>
    <row r="16" spans="1:10" x14ac:dyDescent="0.25">
      <c r="A16" s="105" t="s">
        <v>56</v>
      </c>
      <c r="B16" s="98" t="s">
        <v>317</v>
      </c>
      <c r="C16" s="99" t="s">
        <v>95</v>
      </c>
      <c r="D16" s="100" t="s">
        <v>95</v>
      </c>
      <c r="E16" s="100" t="s">
        <v>95</v>
      </c>
      <c r="F16" s="100" t="s">
        <v>95</v>
      </c>
      <c r="G16" s="101" t="s">
        <v>95</v>
      </c>
      <c r="H16" s="102" t="s">
        <v>318</v>
      </c>
      <c r="I16" s="103" t="s">
        <v>95</v>
      </c>
      <c r="J16" s="104" t="s">
        <v>123</v>
      </c>
    </row>
    <row r="17" spans="1:10" ht="76.650000000000006" customHeight="1" x14ac:dyDescent="0.25">
      <c r="A17" s="97" t="s">
        <v>1407</v>
      </c>
      <c r="B17" s="98" t="s">
        <v>1075</v>
      </c>
      <c r="C17" s="99" t="s">
        <v>248</v>
      </c>
      <c r="D17" s="100" t="s">
        <v>248</v>
      </c>
      <c r="E17" s="100" t="s">
        <v>123</v>
      </c>
      <c r="F17" s="100" t="s">
        <v>248</v>
      </c>
      <c r="G17" s="101" t="s">
        <v>248</v>
      </c>
      <c r="H17" s="116" t="s">
        <v>1234</v>
      </c>
      <c r="I17" s="103" t="s">
        <v>1235</v>
      </c>
      <c r="J17" s="104" t="s">
        <v>1080</v>
      </c>
    </row>
    <row r="18" spans="1:10" ht="66" x14ac:dyDescent="0.25">
      <c r="A18" s="97" t="s">
        <v>1407</v>
      </c>
      <c r="B18" s="98" t="s">
        <v>1076</v>
      </c>
      <c r="C18" s="99" t="s">
        <v>248</v>
      </c>
      <c r="D18" s="100" t="s">
        <v>248</v>
      </c>
      <c r="E18" s="100" t="s">
        <v>123</v>
      </c>
      <c r="F18" s="100" t="s">
        <v>248</v>
      </c>
      <c r="G18" s="101" t="s">
        <v>248</v>
      </c>
      <c r="H18" s="116" t="s">
        <v>1077</v>
      </c>
      <c r="I18" s="103" t="s">
        <v>1236</v>
      </c>
      <c r="J18" s="104" t="s">
        <v>123</v>
      </c>
    </row>
    <row r="19" spans="1:10" ht="90" customHeight="1" x14ac:dyDescent="0.25">
      <c r="A19" s="97" t="s">
        <v>58</v>
      </c>
      <c r="B19" s="106" t="s">
        <v>319</v>
      </c>
      <c r="C19" s="99" t="s">
        <v>248</v>
      </c>
      <c r="D19" s="100" t="s">
        <v>248</v>
      </c>
      <c r="E19" s="100" t="s">
        <v>248</v>
      </c>
      <c r="F19" s="100" t="s">
        <v>123</v>
      </c>
      <c r="G19" s="101" t="s">
        <v>248</v>
      </c>
      <c r="H19" s="102" t="s">
        <v>968</v>
      </c>
      <c r="I19" s="103">
        <f>43332/'Average wages'!B10</f>
        <v>9.9136597662530759E-2</v>
      </c>
      <c r="J19" s="104" t="s">
        <v>967</v>
      </c>
    </row>
    <row r="20" spans="1:10" ht="38.4" customHeight="1" x14ac:dyDescent="0.25">
      <c r="A20" s="97" t="s">
        <v>59</v>
      </c>
      <c r="B20" s="98" t="s">
        <v>320</v>
      </c>
      <c r="C20" s="99" t="s">
        <v>248</v>
      </c>
      <c r="D20" s="100" t="s">
        <v>248</v>
      </c>
      <c r="E20" s="100" t="s">
        <v>248</v>
      </c>
      <c r="F20" s="100" t="s">
        <v>123</v>
      </c>
      <c r="G20" s="101" t="s">
        <v>248</v>
      </c>
      <c r="H20" s="102" t="str">
        <f>"Calculations consider 18m2 per each family member and in addition 15m2 per family. Housing costs are taken into account up to specified standard limits. The average housing costs covered by the subsistence benefit amount to "&amp;TEXT(146.62*1.007*12/'Average wages'!B11,"0%")&amp;" of AW. This is used as a proxy maximum limit in the model."</f>
        <v>Calculations consider 18m2 per each family member and in addition 15m2 per family. Housing costs are taken into account up to specified standard limits. The average housing costs covered by the subsistence benefit amount to 11% of AW. This is used as a proxy maximum limit in the model.</v>
      </c>
      <c r="I20" s="103">
        <f>146.62*1.007*12/'Average wages'!B11</f>
        <v>0.10649665122487149</v>
      </c>
      <c r="J20" s="104" t="s">
        <v>123</v>
      </c>
    </row>
    <row r="21" spans="1:10" ht="34.200000000000003" x14ac:dyDescent="0.25">
      <c r="A21" s="97" t="s">
        <v>1304</v>
      </c>
      <c r="B21" s="106" t="s">
        <v>321</v>
      </c>
      <c r="C21" s="99" t="s">
        <v>248</v>
      </c>
      <c r="D21" s="100" t="s">
        <v>248</v>
      </c>
      <c r="E21" s="100" t="s">
        <v>123</v>
      </c>
      <c r="F21" s="100" t="s">
        <v>248</v>
      </c>
      <c r="G21" s="101" t="s">
        <v>248</v>
      </c>
      <c r="H21" s="102" t="s">
        <v>322</v>
      </c>
      <c r="I21" s="103">
        <f>1120*0.8*12/'Average wages'!B12</f>
        <v>0.23517683356057487</v>
      </c>
      <c r="J21" s="104" t="s">
        <v>323</v>
      </c>
    </row>
    <row r="22" spans="1:10" ht="57" x14ac:dyDescent="0.25">
      <c r="A22" s="97" t="s">
        <v>61</v>
      </c>
      <c r="B22" s="98" t="s">
        <v>324</v>
      </c>
      <c r="C22" s="99" t="s">
        <v>248</v>
      </c>
      <c r="D22" s="100" t="s">
        <v>248</v>
      </c>
      <c r="E22" s="100" t="s">
        <v>123</v>
      </c>
      <c r="F22" s="100" t="s">
        <v>248</v>
      </c>
      <c r="G22" s="101" t="s">
        <v>248</v>
      </c>
      <c r="H22" s="116" t="s">
        <v>325</v>
      </c>
      <c r="I22" s="103">
        <v>0.14460000000000001</v>
      </c>
      <c r="J22" s="104" t="s">
        <v>123</v>
      </c>
    </row>
    <row r="23" spans="1:10" ht="37.799999999999997" x14ac:dyDescent="0.25">
      <c r="A23" s="97" t="s">
        <v>1410</v>
      </c>
      <c r="B23" s="106" t="s">
        <v>326</v>
      </c>
      <c r="C23" s="99" t="s">
        <v>248</v>
      </c>
      <c r="D23" s="100" t="s">
        <v>248</v>
      </c>
      <c r="E23" s="100" t="s">
        <v>123</v>
      </c>
      <c r="F23" s="100" t="s">
        <v>248</v>
      </c>
      <c r="G23" s="101" t="s">
        <v>248</v>
      </c>
      <c r="H23" s="116" t="s">
        <v>601</v>
      </c>
      <c r="I23" s="103">
        <f>9369/'Average wages'!B14</f>
        <v>0.17981401864878932</v>
      </c>
      <c r="J23" s="116" t="s">
        <v>828</v>
      </c>
    </row>
    <row r="24" spans="1:10" ht="22.8" x14ac:dyDescent="0.25">
      <c r="A24" s="97" t="s">
        <v>63</v>
      </c>
      <c r="B24" s="106" t="s">
        <v>1305</v>
      </c>
      <c r="C24" s="99" t="s">
        <v>248</v>
      </c>
      <c r="D24" s="100" t="s">
        <v>248</v>
      </c>
      <c r="E24" s="100" t="s">
        <v>123</v>
      </c>
      <c r="F24" s="100" t="s">
        <v>123</v>
      </c>
      <c r="G24" s="101" t="s">
        <v>248</v>
      </c>
      <c r="H24" s="102" t="s">
        <v>1306</v>
      </c>
      <c r="I24" s="103">
        <f>(70+35*3)*12/'Average wages'!B15</f>
        <v>9.9341438673415286E-2</v>
      </c>
      <c r="J24" s="104" t="s">
        <v>123</v>
      </c>
    </row>
    <row r="25" spans="1:10" x14ac:dyDescent="0.25">
      <c r="A25" s="97" t="s">
        <v>65</v>
      </c>
      <c r="B25" s="106" t="s">
        <v>609</v>
      </c>
      <c r="C25" s="99" t="s">
        <v>248</v>
      </c>
      <c r="D25" s="100" t="s">
        <v>248</v>
      </c>
      <c r="E25" s="100" t="s">
        <v>123</v>
      </c>
      <c r="F25" s="100" t="s">
        <v>123</v>
      </c>
      <c r="G25" s="101" t="s">
        <v>248</v>
      </c>
      <c r="H25" s="102" t="s">
        <v>1307</v>
      </c>
      <c r="I25" s="103">
        <f>653388/'Average wages'!B17</f>
        <v>7.065868236955096E-2</v>
      </c>
      <c r="J25" s="104" t="s">
        <v>123</v>
      </c>
    </row>
    <row r="26" spans="1:10" ht="79.2" x14ac:dyDescent="0.25">
      <c r="A26" s="97" t="s">
        <v>66</v>
      </c>
      <c r="B26" s="115" t="s">
        <v>327</v>
      </c>
      <c r="C26" s="99" t="s">
        <v>248</v>
      </c>
      <c r="D26" s="100" t="s">
        <v>248</v>
      </c>
      <c r="E26" s="100" t="s">
        <v>123</v>
      </c>
      <c r="F26" s="100" t="s">
        <v>248</v>
      </c>
      <c r="G26" s="101" t="s">
        <v>248</v>
      </c>
      <c r="H26" s="116" t="s">
        <v>1078</v>
      </c>
      <c r="I26" s="103">
        <f>(1275*12-40*52)/'Average wages'!B18</f>
        <v>0.28317411585851754</v>
      </c>
      <c r="J26" s="104" t="s">
        <v>1079</v>
      </c>
    </row>
    <row r="27" spans="1:10" ht="34.200000000000003" x14ac:dyDescent="0.25">
      <c r="A27" s="97" t="s">
        <v>314</v>
      </c>
      <c r="B27" s="98" t="s">
        <v>969</v>
      </c>
      <c r="C27" s="99" t="s">
        <v>248</v>
      </c>
      <c r="D27" s="100" t="s">
        <v>248</v>
      </c>
      <c r="E27" s="100" t="s">
        <v>123</v>
      </c>
      <c r="F27" s="100" t="s">
        <v>248</v>
      </c>
      <c r="G27" s="101" t="s">
        <v>248</v>
      </c>
      <c r="H27" s="102" t="s">
        <v>747</v>
      </c>
      <c r="I27" s="103">
        <f>(1170*12)/'Average wages'!B19</f>
        <v>8.937401397983058E-2</v>
      </c>
      <c r="J27" s="104" t="s">
        <v>123</v>
      </c>
    </row>
    <row r="28" spans="1:10" ht="79.8" x14ac:dyDescent="0.25">
      <c r="A28" s="97" t="s">
        <v>68</v>
      </c>
      <c r="B28" s="98" t="s">
        <v>1081</v>
      </c>
      <c r="C28" s="99" t="s">
        <v>123</v>
      </c>
      <c r="D28" s="100" t="s">
        <v>248</v>
      </c>
      <c r="E28" s="100" t="s">
        <v>123</v>
      </c>
      <c r="F28" s="100" t="s">
        <v>123</v>
      </c>
      <c r="G28" s="101" t="s">
        <v>123</v>
      </c>
      <c r="H28" s="102" t="s">
        <v>1082</v>
      </c>
      <c r="I28" s="103">
        <f>(300)/'Average wages'!B20</f>
        <v>9.9229508172474137E-3</v>
      </c>
      <c r="J28" s="98" t="s">
        <v>1083</v>
      </c>
    </row>
    <row r="29" spans="1:10" ht="52.8" x14ac:dyDescent="0.25">
      <c r="A29" s="105" t="s">
        <v>1233</v>
      </c>
      <c r="B29" s="115" t="s">
        <v>673</v>
      </c>
      <c r="C29" s="99" t="s">
        <v>248</v>
      </c>
      <c r="D29" s="100" t="s">
        <v>248</v>
      </c>
      <c r="E29" s="100" t="s">
        <v>123</v>
      </c>
      <c r="F29" s="100" t="s">
        <v>248</v>
      </c>
      <c r="G29" s="101" t="s">
        <v>248</v>
      </c>
      <c r="H29" s="116" t="s">
        <v>674</v>
      </c>
      <c r="I29" s="103">
        <f>69800*12/'Average wages'!B21</f>
        <v>0.16153727684249028</v>
      </c>
      <c r="J29" s="104" t="s">
        <v>95</v>
      </c>
    </row>
    <row r="30" spans="1:10" ht="22.8" x14ac:dyDescent="0.25">
      <c r="A30" s="97" t="s">
        <v>70</v>
      </c>
      <c r="B30" s="260" t="s">
        <v>1447</v>
      </c>
      <c r="C30" s="99"/>
      <c r="D30" s="100"/>
      <c r="E30" s="100"/>
      <c r="F30" s="100"/>
      <c r="G30" s="101"/>
      <c r="H30" s="116"/>
      <c r="I30" s="103"/>
      <c r="J30" s="104"/>
    </row>
    <row r="31" spans="1:10" ht="34.200000000000003" x14ac:dyDescent="0.25">
      <c r="A31" s="97" t="s">
        <v>1406</v>
      </c>
      <c r="B31" s="298" t="s">
        <v>580</v>
      </c>
      <c r="C31" s="99" t="s">
        <v>248</v>
      </c>
      <c r="D31" s="100" t="s">
        <v>248</v>
      </c>
      <c r="E31" s="100" t="s">
        <v>248</v>
      </c>
      <c r="F31" s="100" t="s">
        <v>248</v>
      </c>
      <c r="G31" s="101" t="s">
        <v>248</v>
      </c>
      <c r="H31" s="102" t="s">
        <v>1308</v>
      </c>
      <c r="I31" s="103">
        <f>46.19*1.023*4*12/'Average wages'!B23</f>
        <v>0.17565048766581418</v>
      </c>
      <c r="J31" s="104" t="s">
        <v>123</v>
      </c>
    </row>
    <row r="32" spans="1:10" ht="34.200000000000003" x14ac:dyDescent="0.25">
      <c r="A32" s="97" t="s">
        <v>86</v>
      </c>
      <c r="B32" s="106" t="s">
        <v>1309</v>
      </c>
      <c r="C32" s="99" t="s">
        <v>248</v>
      </c>
      <c r="D32" s="100" t="s">
        <v>248</v>
      </c>
      <c r="E32" s="100" t="s">
        <v>248</v>
      </c>
      <c r="F32" s="100" t="s">
        <v>248</v>
      </c>
      <c r="G32" s="101" t="s">
        <v>248</v>
      </c>
      <c r="H32" s="102" t="s">
        <v>1310</v>
      </c>
      <c r="I32" s="299">
        <f>92.42*4*12/'Average wages'!B24</f>
        <v>0.27007732214582281</v>
      </c>
      <c r="J32" s="104" t="s">
        <v>1311</v>
      </c>
    </row>
    <row r="33" spans="1:10" ht="66.599999999999994" thickBot="1" x14ac:dyDescent="0.3">
      <c r="A33" s="97" t="s">
        <v>71</v>
      </c>
      <c r="B33" s="298" t="s">
        <v>679</v>
      </c>
      <c r="C33" s="99" t="s">
        <v>248</v>
      </c>
      <c r="D33" s="100" t="s">
        <v>248</v>
      </c>
      <c r="E33" s="100" t="s">
        <v>123</v>
      </c>
      <c r="F33" s="100" t="s">
        <v>123</v>
      </c>
      <c r="G33" s="101" t="s">
        <v>248</v>
      </c>
      <c r="H33" s="116" t="s">
        <v>970</v>
      </c>
      <c r="I33" s="103">
        <f>174*12/'Average wages'!$B$25</f>
        <v>3.5975244867605963E-2</v>
      </c>
      <c r="J33" s="104" t="s">
        <v>971</v>
      </c>
    </row>
    <row r="34" spans="1:10" ht="40.200000000000003" thickBot="1" x14ac:dyDescent="0.3">
      <c r="A34" s="97" t="s">
        <v>72</v>
      </c>
      <c r="B34" s="298" t="s">
        <v>328</v>
      </c>
      <c r="C34" s="99" t="s">
        <v>248</v>
      </c>
      <c r="D34" s="100" t="s">
        <v>248</v>
      </c>
      <c r="E34" s="100" t="s">
        <v>123</v>
      </c>
      <c r="F34" s="100" t="s">
        <v>123</v>
      </c>
      <c r="G34" s="101" t="s">
        <v>248</v>
      </c>
      <c r="H34" s="300" t="s">
        <v>704</v>
      </c>
      <c r="I34" s="103">
        <f>(432.51-232.65+0.65*(663.4-432.51)*12)/'Average wages'!$B$26</f>
        <v>3.6482444697083415E-2</v>
      </c>
      <c r="J34" s="104" t="s">
        <v>123</v>
      </c>
    </row>
    <row r="35" spans="1:10" ht="22.8" x14ac:dyDescent="0.25">
      <c r="A35" s="97" t="s">
        <v>1411</v>
      </c>
      <c r="B35" s="260" t="s">
        <v>1447</v>
      </c>
      <c r="C35" s="99"/>
      <c r="D35" s="100"/>
      <c r="E35" s="100"/>
      <c r="F35" s="100"/>
      <c r="G35" s="101"/>
      <c r="H35" s="116"/>
      <c r="I35" s="103"/>
      <c r="J35" s="104"/>
    </row>
    <row r="36" spans="1:10" ht="66" x14ac:dyDescent="0.25">
      <c r="A36" s="97" t="s">
        <v>315</v>
      </c>
      <c r="B36" s="106" t="s">
        <v>329</v>
      </c>
      <c r="C36" s="99" t="s">
        <v>248</v>
      </c>
      <c r="D36" s="100" t="s">
        <v>248</v>
      </c>
      <c r="E36" s="100" t="s">
        <v>123</v>
      </c>
      <c r="F36" s="100" t="s">
        <v>248</v>
      </c>
      <c r="G36" s="101" t="s">
        <v>248</v>
      </c>
      <c r="H36" s="116" t="s">
        <v>712</v>
      </c>
      <c r="I36" s="103">
        <f>(131948-20925)*0.737/'Average wages'!B28</f>
        <v>0.13042383598477927</v>
      </c>
      <c r="J36" s="104" t="s">
        <v>722</v>
      </c>
    </row>
    <row r="37" spans="1:10" ht="52.8" x14ac:dyDescent="0.25">
      <c r="A37" s="97" t="s">
        <v>244</v>
      </c>
      <c r="B37" s="298" t="s">
        <v>330</v>
      </c>
      <c r="C37" s="99" t="s">
        <v>248</v>
      </c>
      <c r="D37" s="100" t="s">
        <v>248</v>
      </c>
      <c r="E37" s="100" t="s">
        <v>248</v>
      </c>
      <c r="F37" s="100" t="s">
        <v>123</v>
      </c>
      <c r="G37" s="101" t="s">
        <v>248</v>
      </c>
      <c r="H37" s="116" t="s">
        <v>1312</v>
      </c>
      <c r="I37" s="103" t="s">
        <v>331</v>
      </c>
      <c r="J37" s="104" t="s">
        <v>332</v>
      </c>
    </row>
    <row r="38" spans="1:10" ht="34.200000000000003" x14ac:dyDescent="0.25">
      <c r="A38" s="97" t="s">
        <v>74</v>
      </c>
      <c r="B38" s="298" t="s">
        <v>333</v>
      </c>
      <c r="C38" s="99" t="s">
        <v>248</v>
      </c>
      <c r="D38" s="100" t="s">
        <v>248</v>
      </c>
      <c r="E38" s="100" t="s">
        <v>123</v>
      </c>
      <c r="F38" s="100" t="s">
        <v>123</v>
      </c>
      <c r="G38" s="101" t="s">
        <v>248</v>
      </c>
      <c r="H38" s="102" t="s">
        <v>1189</v>
      </c>
      <c r="I38" s="299" t="s">
        <v>95</v>
      </c>
      <c r="J38" s="104" t="s">
        <v>95</v>
      </c>
    </row>
    <row r="39" spans="1:10" ht="39.6" x14ac:dyDescent="0.25">
      <c r="A39" s="97" t="s">
        <v>75</v>
      </c>
      <c r="B39" s="298" t="s">
        <v>1085</v>
      </c>
      <c r="C39" s="99" t="s">
        <v>248</v>
      </c>
      <c r="D39" s="100" t="s">
        <v>248</v>
      </c>
      <c r="E39" s="100" t="s">
        <v>123</v>
      </c>
      <c r="F39" s="100" t="s">
        <v>123</v>
      </c>
      <c r="G39" s="101" t="s">
        <v>123</v>
      </c>
      <c r="H39" s="116" t="s">
        <v>1086</v>
      </c>
      <c r="I39" s="103">
        <f>91.94*12/'Average wages'!B31</f>
        <v>8.3579875775547749E-2</v>
      </c>
      <c r="J39" s="104" t="s">
        <v>95</v>
      </c>
    </row>
    <row r="40" spans="1:10" ht="39.6" x14ac:dyDescent="0.25">
      <c r="A40" s="97" t="s">
        <v>76</v>
      </c>
      <c r="B40" s="298" t="s">
        <v>334</v>
      </c>
      <c r="C40" s="99" t="s">
        <v>248</v>
      </c>
      <c r="D40" s="100" t="s">
        <v>248</v>
      </c>
      <c r="E40" s="100" t="s">
        <v>248</v>
      </c>
      <c r="F40" s="100" t="s">
        <v>123</v>
      </c>
      <c r="G40" s="101" t="s">
        <v>248</v>
      </c>
      <c r="H40" s="116" t="s">
        <v>1084</v>
      </c>
      <c r="I40" s="103" t="str">
        <f>"Varies by family size: - "&amp;TEXT(85*12*100/'Average wages'!B32,0)&amp;"% of AW  for a single peron;
"&amp;TEXT(180*12*100/'Average wages'!B32,0)&amp;"% of AW for a household with 4 members."</f>
        <v>Varies by family size: - 5% of AW  for a single peron;
11% of AW for a household with 4 members.</v>
      </c>
      <c r="J40" s="104" t="s">
        <v>95</v>
      </c>
    </row>
    <row r="41" spans="1:10" ht="26.4" x14ac:dyDescent="0.25">
      <c r="A41" s="97" t="s">
        <v>77</v>
      </c>
      <c r="B41" s="98" t="s">
        <v>317</v>
      </c>
      <c r="C41" s="99" t="s">
        <v>95</v>
      </c>
      <c r="D41" s="100" t="s">
        <v>95</v>
      </c>
      <c r="E41" s="100" t="s">
        <v>95</v>
      </c>
      <c r="F41" s="100" t="s">
        <v>95</v>
      </c>
      <c r="G41" s="101" t="s">
        <v>95</v>
      </c>
      <c r="H41" s="116" t="s">
        <v>1210</v>
      </c>
      <c r="I41" s="299" t="s">
        <v>95</v>
      </c>
      <c r="J41" s="104" t="s">
        <v>123</v>
      </c>
    </row>
    <row r="42" spans="1:10" ht="52.8" x14ac:dyDescent="0.25">
      <c r="A42" s="97" t="s">
        <v>78</v>
      </c>
      <c r="B42" s="298" t="s">
        <v>972</v>
      </c>
      <c r="C42" s="99" t="s">
        <v>248</v>
      </c>
      <c r="D42" s="100" t="s">
        <v>248</v>
      </c>
      <c r="E42" s="100" t="s">
        <v>123</v>
      </c>
      <c r="F42" s="100" t="s">
        <v>123</v>
      </c>
      <c r="G42" s="101" t="s">
        <v>248</v>
      </c>
      <c r="H42" s="116" t="s">
        <v>335</v>
      </c>
      <c r="I42" s="103">
        <f>(2000 + 50%*(3300-1400) + 50%*(5900-3300))*12/'Average wages'!$B$34</f>
        <v>0.10949685716800676</v>
      </c>
      <c r="J42" s="104" t="s">
        <v>336</v>
      </c>
    </row>
    <row r="43" spans="1:10" ht="22.8" x14ac:dyDescent="0.25">
      <c r="A43" s="97" t="s">
        <v>79</v>
      </c>
      <c r="B43" s="98" t="s">
        <v>317</v>
      </c>
      <c r="C43" s="99" t="s">
        <v>95</v>
      </c>
      <c r="D43" s="100" t="s">
        <v>95</v>
      </c>
      <c r="E43" s="100" t="s">
        <v>95</v>
      </c>
      <c r="F43" s="100" t="s">
        <v>95</v>
      </c>
      <c r="G43" s="101" t="s">
        <v>95</v>
      </c>
      <c r="H43" s="102" t="s">
        <v>337</v>
      </c>
      <c r="I43" s="299" t="s">
        <v>95</v>
      </c>
      <c r="J43" s="104" t="s">
        <v>338</v>
      </c>
    </row>
    <row r="44" spans="1:10" x14ac:dyDescent="0.25">
      <c r="A44" s="97" t="s">
        <v>80</v>
      </c>
      <c r="B44" s="98" t="s">
        <v>317</v>
      </c>
      <c r="C44" s="99"/>
      <c r="D44" s="100"/>
      <c r="E44" s="100"/>
      <c r="F44" s="100"/>
      <c r="G44" s="101"/>
      <c r="H44" s="102"/>
      <c r="I44" s="299"/>
      <c r="J44" s="104"/>
    </row>
    <row r="45" spans="1:10" ht="26.4" x14ac:dyDescent="0.25">
      <c r="A45" s="97" t="s">
        <v>1413</v>
      </c>
      <c r="B45" s="106" t="s">
        <v>1214</v>
      </c>
      <c r="C45" s="99" t="s">
        <v>248</v>
      </c>
      <c r="D45" s="100" t="s">
        <v>248</v>
      </c>
      <c r="E45" s="100" t="s">
        <v>123</v>
      </c>
      <c r="F45" s="100" t="s">
        <v>248</v>
      </c>
      <c r="G45" s="101" t="s">
        <v>248</v>
      </c>
      <c r="H45" s="116" t="s">
        <v>1225</v>
      </c>
      <c r="I45" s="103">
        <f>7680.3/'Average wages'!B37</f>
        <v>0.18370721892948297</v>
      </c>
      <c r="J45" s="104" t="s">
        <v>123</v>
      </c>
    </row>
    <row r="46" spans="1:10" ht="74.099999999999994" customHeight="1" x14ac:dyDescent="0.25">
      <c r="A46" s="97" t="s">
        <v>316</v>
      </c>
      <c r="B46" s="98" t="s">
        <v>965</v>
      </c>
      <c r="C46" s="99" t="s">
        <v>95</v>
      </c>
      <c r="D46" s="100" t="s">
        <v>95</v>
      </c>
      <c r="E46" s="100" t="s">
        <v>95</v>
      </c>
      <c r="F46" s="100" t="s">
        <v>95</v>
      </c>
      <c r="G46" s="101" t="s">
        <v>95</v>
      </c>
      <c r="H46" s="102" t="s">
        <v>966</v>
      </c>
      <c r="I46" s="299" t="s">
        <v>95</v>
      </c>
      <c r="J46" s="104" t="str">
        <f>"Rent (if more than 50% of net income with a maximum of "&amp;TEXT(100*535*12/'Average wages'!B38,0)&amp;"% of AW) is deducted from income in SNAP means test"</f>
        <v>Rent (if more than 50% of net income with a maximum of 11% of AW) is deducted from income in SNAP means test</v>
      </c>
    </row>
    <row r="47" spans="1:10" x14ac:dyDescent="0.25">
      <c r="A47" s="21" t="s">
        <v>1149</v>
      </c>
      <c r="B47" s="107"/>
      <c r="C47" s="108"/>
      <c r="D47" s="109"/>
      <c r="E47" s="109"/>
      <c r="F47" s="109"/>
      <c r="G47" s="110"/>
      <c r="H47" s="111"/>
      <c r="I47" s="112"/>
      <c r="J47" s="113"/>
    </row>
    <row r="48" spans="1:10" ht="45.6" x14ac:dyDescent="0.25">
      <c r="A48" s="296" t="s">
        <v>83</v>
      </c>
      <c r="B48" s="98" t="s">
        <v>317</v>
      </c>
      <c r="C48" s="99" t="s">
        <v>95</v>
      </c>
      <c r="D48" s="100" t="s">
        <v>95</v>
      </c>
      <c r="E48" s="100" t="s">
        <v>95</v>
      </c>
      <c r="F48" s="100" t="s">
        <v>95</v>
      </c>
      <c r="G48" s="101" t="s">
        <v>95</v>
      </c>
      <c r="H48" s="102" t="s">
        <v>1087</v>
      </c>
      <c r="I48" s="299" t="s">
        <v>95</v>
      </c>
      <c r="J48" s="104" t="s">
        <v>282</v>
      </c>
    </row>
    <row r="49" spans="1:10" ht="34.200000000000003" x14ac:dyDescent="0.25">
      <c r="A49" s="97" t="s">
        <v>84</v>
      </c>
      <c r="B49" s="298" t="s">
        <v>620</v>
      </c>
      <c r="C49" s="99" t="s">
        <v>123</v>
      </c>
      <c r="D49" s="100" t="s">
        <v>248</v>
      </c>
      <c r="E49" s="100" t="s">
        <v>123</v>
      </c>
      <c r="F49" s="100" t="s">
        <v>123</v>
      </c>
      <c r="G49" s="101" t="s">
        <v>123</v>
      </c>
      <c r="H49" s="104" t="s">
        <v>1313</v>
      </c>
      <c r="I49" s="103">
        <f>800*(0.6*2+0.4*2)/2*12/'Average wages'!B41</f>
        <v>9.2740795578245022E-2</v>
      </c>
      <c r="J49" s="104" t="s">
        <v>621</v>
      </c>
    </row>
    <row r="50" spans="1:10" ht="39.6" x14ac:dyDescent="0.25">
      <c r="A50" s="97" t="s">
        <v>1314</v>
      </c>
      <c r="B50" s="298" t="s">
        <v>723</v>
      </c>
      <c r="C50" s="99" t="s">
        <v>248</v>
      </c>
      <c r="D50" s="100" t="s">
        <v>248</v>
      </c>
      <c r="E50" s="100" t="s">
        <v>248</v>
      </c>
      <c r="F50" s="100" t="s">
        <v>248</v>
      </c>
      <c r="G50" s="101" t="s">
        <v>248</v>
      </c>
      <c r="H50" s="104" t="s">
        <v>640</v>
      </c>
      <c r="I50" s="103">
        <f>4.06*(55+25+20)*12/'Average wages'!B42</f>
        <v>0.21033696298159629</v>
      </c>
      <c r="J50" s="104" t="s">
        <v>123</v>
      </c>
    </row>
    <row r="51" spans="1:10" ht="96" customHeight="1" x14ac:dyDescent="0.25">
      <c r="A51" s="301" t="s">
        <v>192</v>
      </c>
      <c r="B51" s="298" t="s">
        <v>1088</v>
      </c>
      <c r="C51" s="99" t="s">
        <v>248</v>
      </c>
      <c r="D51" s="100" t="s">
        <v>248</v>
      </c>
      <c r="E51" s="100" t="s">
        <v>248</v>
      </c>
      <c r="F51" s="100" t="s">
        <v>123</v>
      </c>
      <c r="G51" s="101" t="s">
        <v>248</v>
      </c>
      <c r="H51" s="116" t="s">
        <v>1089</v>
      </c>
      <c r="I51" s="103" t="str">
        <f>"Varies by family size: 
EUR 3600 ("&amp;TEXT(3600*100/'Average wages'!B43,0)&amp;"% of AW)  for a single peron; 
EUR 5000 ("&amp;TEXT(5000*100/'Average wages'!B43,0)&amp;"% of AW) for a couple with two children "</f>
        <v xml:space="preserve">Varies by family size: 
EUR 3600 (14% of AW)  for a single peron; 
EUR 5000 (19% of AW) for a couple with two children </v>
      </c>
      <c r="J51" s="104" t="str">
        <f>"Yes, recipients of non-contributory benefits receive also the 'rent element' of EUR 1.16 / week (EUR 60 / year, i.e. "&amp;TEXT(1.16*52*100/'Average wages'!B43,0.01)&amp;"% of AW) "</f>
        <v xml:space="preserve">Yes, recipients of non-contributory benefits receive also the 'rent element' of EUR 1.16 / week (EUR 60 / year, i.e. 0.21% of AW) </v>
      </c>
    </row>
    <row r="52" spans="1:10" x14ac:dyDescent="0.25">
      <c r="A52" s="97" t="s">
        <v>87</v>
      </c>
      <c r="B52" s="98" t="s">
        <v>317</v>
      </c>
      <c r="C52" s="99"/>
      <c r="D52" s="100"/>
      <c r="E52" s="100"/>
      <c r="F52" s="100"/>
      <c r="G52" s="101"/>
      <c r="H52" s="102"/>
      <c r="I52" s="299"/>
      <c r="J52" s="104"/>
    </row>
    <row r="53" spans="1:10" x14ac:dyDescent="0.25">
      <c r="A53" s="114"/>
      <c r="I53" s="302"/>
    </row>
    <row r="54" spans="1:10" x14ac:dyDescent="0.25">
      <c r="A54" s="146" t="s">
        <v>88</v>
      </c>
      <c r="B54" s="86"/>
    </row>
    <row r="55" spans="1:10" x14ac:dyDescent="0.25">
      <c r="A55" s="555" t="s">
        <v>89</v>
      </c>
      <c r="B55" s="146"/>
    </row>
    <row r="56" spans="1:10" ht="13.8" x14ac:dyDescent="0.25">
      <c r="A56" s="555" t="s">
        <v>1404</v>
      </c>
      <c r="B56" s="86"/>
      <c r="J56" s="303"/>
    </row>
    <row r="57" spans="1:10" x14ac:dyDescent="0.25">
      <c r="A57" s="555" t="s">
        <v>1409</v>
      </c>
      <c r="B57" s="87"/>
    </row>
    <row r="58" spans="1:10" x14ac:dyDescent="0.25">
      <c r="A58" s="555" t="s">
        <v>634</v>
      </c>
      <c r="B58" s="87"/>
    </row>
    <row r="59" spans="1:10" x14ac:dyDescent="0.25">
      <c r="A59" s="555" t="s">
        <v>1408</v>
      </c>
      <c r="B59" s="87"/>
    </row>
    <row r="60" spans="1:10" x14ac:dyDescent="0.25">
      <c r="A60" s="555" t="s">
        <v>577</v>
      </c>
      <c r="B60" s="87"/>
      <c r="J60" s="304"/>
    </row>
    <row r="61" spans="1:10" x14ac:dyDescent="0.25">
      <c r="A61" s="555" t="s">
        <v>1412</v>
      </c>
      <c r="B61" s="87"/>
    </row>
    <row r="62" spans="1:10" x14ac:dyDescent="0.25">
      <c r="A62" s="86"/>
      <c r="B62" s="86"/>
    </row>
    <row r="63" spans="1:10" x14ac:dyDescent="0.25">
      <c r="A63" s="1" t="s">
        <v>91</v>
      </c>
      <c r="B63" s="295" t="s">
        <v>6</v>
      </c>
    </row>
  </sheetData>
  <autoFilter ref="A11:A52" xr:uid="{00000000-0009-0000-0000-000004000000}"/>
  <mergeCells count="9">
    <mergeCell ref="C10:G10"/>
    <mergeCell ref="A1:J1"/>
    <mergeCell ref="A2:J2"/>
    <mergeCell ref="B6:I7"/>
    <mergeCell ref="J6:J9"/>
    <mergeCell ref="B8:B9"/>
    <mergeCell ref="C8:G8"/>
    <mergeCell ref="H8:H9"/>
    <mergeCell ref="I8:I9"/>
  </mergeCells>
  <hyperlinks>
    <hyperlink ref="B63" r:id="rId1" xr:uid="{00000000-0004-0000-04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87"/>
  <sheetViews>
    <sheetView topLeftCell="B1" zoomScale="80" zoomScaleNormal="80" workbookViewId="0">
      <pane xSplit="1" ySplit="9" topLeftCell="C10" activePane="bottomRight" state="frozen"/>
      <selection activeCell="J15" sqref="J15"/>
      <selection pane="topRight" activeCell="J15" sqref="J15"/>
      <selection pane="bottomLeft" activeCell="J15" sqref="J15"/>
      <selection pane="bottomRight" activeCell="B1" sqref="B1:L1"/>
    </sheetView>
  </sheetViews>
  <sheetFormatPr defaultColWidth="8.6640625" defaultRowHeight="13.2" x14ac:dyDescent="0.25"/>
  <cols>
    <col min="1" max="1" width="17.88671875" style="23" hidden="1" customWidth="1"/>
    <col min="2" max="2" width="20" style="346" bestFit="1" customWidth="1"/>
    <col min="3" max="3" width="35.109375" style="213" customWidth="1"/>
    <col min="4" max="4" width="12.109375" style="213" bestFit="1" customWidth="1"/>
    <col min="5" max="5" width="12.88671875" style="315" customWidth="1"/>
    <col min="6" max="6" width="35.5546875" style="213" customWidth="1"/>
    <col min="7" max="7" width="15.109375" style="23" customWidth="1"/>
    <col min="8" max="8" width="17.88671875" style="23" customWidth="1"/>
    <col min="9" max="9" width="22.5546875" style="23" customWidth="1"/>
    <col min="10" max="10" width="26.44140625" style="23" customWidth="1"/>
    <col min="11" max="11" width="31" style="23" customWidth="1"/>
    <col min="12" max="12" width="12.33203125" style="23" customWidth="1"/>
    <col min="13" max="16384" width="8.6640625" style="23"/>
  </cols>
  <sheetData>
    <row r="1" spans="1:12" ht="19.2" x14ac:dyDescent="0.3">
      <c r="A1" s="124"/>
      <c r="B1" s="643" t="s">
        <v>1415</v>
      </c>
      <c r="C1" s="644"/>
      <c r="D1" s="644"/>
      <c r="E1" s="644"/>
      <c r="F1" s="644"/>
      <c r="G1" s="644"/>
      <c r="H1" s="644"/>
      <c r="I1" s="644"/>
      <c r="J1" s="644"/>
      <c r="K1" s="644"/>
      <c r="L1" s="644"/>
    </row>
    <row r="2" spans="1:12" ht="17.25" customHeight="1" x14ac:dyDescent="0.3">
      <c r="A2" s="124"/>
      <c r="B2" s="592">
        <v>2020</v>
      </c>
      <c r="C2" s="592"/>
      <c r="D2" s="592"/>
      <c r="E2" s="592"/>
      <c r="F2" s="592"/>
      <c r="G2" s="592"/>
      <c r="H2" s="592"/>
      <c r="I2" s="592"/>
      <c r="J2" s="592"/>
      <c r="K2" s="592"/>
      <c r="L2" s="592"/>
    </row>
    <row r="3" spans="1:12" ht="17.25" customHeight="1" x14ac:dyDescent="0.3">
      <c r="A3" s="124"/>
      <c r="B3" s="515"/>
      <c r="C3" s="515"/>
      <c r="D3" s="515"/>
      <c r="E3" s="515"/>
      <c r="F3" s="515"/>
      <c r="G3" s="515"/>
      <c r="H3" s="515"/>
      <c r="I3" s="515"/>
      <c r="J3" s="515"/>
      <c r="K3" s="515"/>
      <c r="L3" s="515"/>
    </row>
    <row r="4" spans="1:12" ht="11.25" hidden="1" customHeight="1" x14ac:dyDescent="0.25">
      <c r="A4" s="124"/>
      <c r="B4" s="220" t="s">
        <v>5</v>
      </c>
      <c r="C4" s="553" t="s">
        <v>8</v>
      </c>
      <c r="D4" s="553" t="s">
        <v>8</v>
      </c>
      <c r="E4" s="312" t="s">
        <v>8</v>
      </c>
      <c r="F4" s="553" t="s">
        <v>8</v>
      </c>
      <c r="G4" s="117" t="s">
        <v>339</v>
      </c>
      <c r="H4" s="25" t="s">
        <v>8</v>
      </c>
      <c r="I4" s="25" t="s">
        <v>8</v>
      </c>
      <c r="J4" s="25" t="s">
        <v>8</v>
      </c>
      <c r="K4" s="25" t="s">
        <v>8</v>
      </c>
      <c r="L4" s="25" t="s">
        <v>8</v>
      </c>
    </row>
    <row r="5" spans="1:12" hidden="1" x14ac:dyDescent="0.25">
      <c r="A5" s="124"/>
      <c r="B5" s="220" t="s">
        <v>340</v>
      </c>
      <c r="C5" s="207" t="s">
        <v>341</v>
      </c>
      <c r="D5" s="207" t="s">
        <v>342</v>
      </c>
      <c r="E5" s="313" t="s">
        <v>343</v>
      </c>
      <c r="F5" s="207" t="s">
        <v>344</v>
      </c>
      <c r="G5" s="29" t="s">
        <v>345</v>
      </c>
      <c r="H5" s="124" t="s">
        <v>346</v>
      </c>
      <c r="I5" s="124" t="s">
        <v>347</v>
      </c>
      <c r="J5" s="124" t="s">
        <v>348</v>
      </c>
      <c r="K5" s="124" t="s">
        <v>349</v>
      </c>
      <c r="L5" s="124" t="s">
        <v>350</v>
      </c>
    </row>
    <row r="6" spans="1:12" x14ac:dyDescent="0.25">
      <c r="A6" s="124"/>
      <c r="B6" s="558"/>
      <c r="C6" s="610" t="s">
        <v>351</v>
      </c>
      <c r="D6" s="645" t="s">
        <v>352</v>
      </c>
      <c r="E6" s="625" t="s">
        <v>353</v>
      </c>
      <c r="F6" s="626"/>
      <c r="G6" s="624" t="s">
        <v>1416</v>
      </c>
      <c r="H6" s="625"/>
      <c r="I6" s="626"/>
      <c r="J6" s="618" t="s">
        <v>354</v>
      </c>
      <c r="K6" s="620"/>
      <c r="L6" s="118"/>
    </row>
    <row r="7" spans="1:12" ht="23.25" customHeight="1" x14ac:dyDescent="0.25">
      <c r="A7" s="124"/>
      <c r="B7" s="559"/>
      <c r="C7" s="611"/>
      <c r="D7" s="646"/>
      <c r="E7" s="647" t="s">
        <v>355</v>
      </c>
      <c r="F7" s="649" t="s">
        <v>221</v>
      </c>
      <c r="G7" s="610" t="s">
        <v>356</v>
      </c>
      <c r="H7" s="625" t="s">
        <v>373</v>
      </c>
      <c r="I7" s="626"/>
      <c r="J7" s="612" t="s">
        <v>1414</v>
      </c>
      <c r="K7" s="614" t="s">
        <v>357</v>
      </c>
      <c r="L7" s="653" t="s">
        <v>358</v>
      </c>
    </row>
    <row r="8" spans="1:12" ht="91.2" x14ac:dyDescent="0.25">
      <c r="A8" s="124"/>
      <c r="B8" s="559"/>
      <c r="C8" s="611"/>
      <c r="D8" s="646"/>
      <c r="E8" s="648"/>
      <c r="F8" s="650"/>
      <c r="G8" s="611"/>
      <c r="H8" s="536" t="s">
        <v>372</v>
      </c>
      <c r="I8" s="552" t="s">
        <v>374</v>
      </c>
      <c r="J8" s="651"/>
      <c r="K8" s="652"/>
      <c r="L8" s="654"/>
    </row>
    <row r="9" spans="1:12" x14ac:dyDescent="0.25">
      <c r="A9" s="124"/>
      <c r="B9" s="560"/>
      <c r="C9" s="265" t="s">
        <v>39</v>
      </c>
      <c r="D9" s="265" t="s">
        <v>40</v>
      </c>
      <c r="E9" s="126" t="s">
        <v>41</v>
      </c>
      <c r="F9" s="125" t="s">
        <v>42</v>
      </c>
      <c r="G9" s="407" t="s">
        <v>43</v>
      </c>
      <c r="H9" s="126" t="s">
        <v>44</v>
      </c>
      <c r="I9" s="125" t="s">
        <v>45</v>
      </c>
      <c r="J9" s="126" t="s">
        <v>47</v>
      </c>
      <c r="K9" s="59" t="s">
        <v>48</v>
      </c>
      <c r="L9" s="407" t="s">
        <v>49</v>
      </c>
    </row>
    <row r="10" spans="1:12" x14ac:dyDescent="0.25">
      <c r="A10" s="124"/>
      <c r="B10" s="561" t="s">
        <v>53</v>
      </c>
      <c r="C10" s="208"/>
      <c r="D10" s="208"/>
      <c r="E10" s="126"/>
      <c r="F10" s="214"/>
      <c r="G10" s="407"/>
      <c r="H10" s="126"/>
      <c r="I10" s="125"/>
      <c r="J10" s="126"/>
      <c r="K10" s="125"/>
      <c r="L10" s="407"/>
    </row>
    <row r="11" spans="1:12" ht="68.400000000000006" x14ac:dyDescent="0.25">
      <c r="A11" s="317" t="s">
        <v>359</v>
      </c>
      <c r="B11" s="221" t="s">
        <v>178</v>
      </c>
      <c r="C11" s="565" t="s">
        <v>375</v>
      </c>
      <c r="D11" s="209" t="s">
        <v>376</v>
      </c>
      <c r="E11" s="398" t="s">
        <v>444</v>
      </c>
      <c r="F11" s="215" t="s">
        <v>729</v>
      </c>
      <c r="G11" s="408">
        <f>5621/'Average wages'!B4</f>
        <v>6.1863725911006924E-2</v>
      </c>
      <c r="H11" s="398" t="s">
        <v>377</v>
      </c>
      <c r="I11" s="119">
        <v>0</v>
      </c>
      <c r="J11" s="318" t="str">
        <f>"AUD 54,677 ("&amp;TEXT(54677/'Average wages'!B4,"0%")&amp;" of AW)"</f>
        <v>AUD 54,677 (60% of AW)</v>
      </c>
      <c r="K11" s="319" t="str">
        <f>"Withdrawal occurs in two stages: benefit withdrawn at rate of 20% until it reaches AUD 98,988 per year, then at 30%"</f>
        <v>Withdrawal occurs in two stages: benefit withdrawn at rate of 20% until it reaches AUD 98,988 per year, then at 30%</v>
      </c>
      <c r="L11" s="112" t="s">
        <v>123</v>
      </c>
    </row>
    <row r="12" spans="1:12" ht="57" x14ac:dyDescent="0.25">
      <c r="A12" s="317" t="s">
        <v>361</v>
      </c>
      <c r="B12" s="79" t="s">
        <v>178</v>
      </c>
      <c r="C12" s="566" t="s">
        <v>378</v>
      </c>
      <c r="D12" s="210" t="s">
        <v>376</v>
      </c>
      <c r="E12" s="399" t="s">
        <v>444</v>
      </c>
      <c r="F12" s="216" t="s">
        <v>123</v>
      </c>
      <c r="G12" s="409">
        <f>4500.45/'Average wages'!B4</f>
        <v>4.9531151979397101E-2</v>
      </c>
      <c r="H12" s="399" t="s">
        <v>398</v>
      </c>
      <c r="I12" s="121" t="s">
        <v>136</v>
      </c>
      <c r="J12" s="320" t="str">
        <f>"AUD 100,000 ("&amp;TEXT(100000/'Average wages'!B4,"0%")&amp;" of AW) for lone parents and higher earner in couples.
AUD 5,694 ("&amp;TEXT(5694/'Average wages'!B4,"0%")&amp;" of AW) for lower earner in couples."</f>
        <v>AUD 100,000 (110% of AW) for lone parents and higher earner in couples.
AUD 5,694 (6% of AW) for lower earner in couples.</v>
      </c>
      <c r="K12" s="321" t="str">
        <f>"For lone parents and higher earner in couples, benefit withdrawn in full if income exceeds threshold.
For lower earner in couples, withdrawal rate is 20% above the threshold"</f>
        <v>For lone parents and higher earner in couples, benefit withdrawn in full if income exceeds threshold.
For lower earner in couples, withdrawal rate is 20% above the threshold</v>
      </c>
      <c r="L12" s="330" t="s">
        <v>123</v>
      </c>
    </row>
    <row r="13" spans="1:12" ht="45.6" x14ac:dyDescent="0.25">
      <c r="A13" s="317" t="s">
        <v>362</v>
      </c>
      <c r="B13" s="222" t="s">
        <v>178</v>
      </c>
      <c r="C13" s="567" t="s">
        <v>379</v>
      </c>
      <c r="D13" s="211" t="s">
        <v>376</v>
      </c>
      <c r="E13" s="400" t="s">
        <v>1093</v>
      </c>
      <c r="F13" s="217" t="s">
        <v>844</v>
      </c>
      <c r="G13" s="305">
        <f>(780.7*26+12*26+30.2*4+6.2*26)/'Average wages'!B4</f>
        <v>0.2299358360572743</v>
      </c>
      <c r="H13" s="400">
        <v>0</v>
      </c>
      <c r="I13" s="322" t="s">
        <v>136</v>
      </c>
      <c r="J13" s="323" t="str">
        <f>"AUD 188.60/fortnight ("&amp;TEXT(188.6*26/'Average wages'!B4,"0%")&amp;" of AW) for a one-child family with an addition of AUD 24.60 ("&amp;TEXT(24.6*26/'Average wages'!B4,"0%")&amp;" of AW) for each subsequent child"</f>
        <v>AUD 188.60/fortnight (5% of AW) for a one-child family with an addition of AUD 24.60 (1% of AW) for each subsequent child</v>
      </c>
      <c r="K13" s="324">
        <v>0.4</v>
      </c>
      <c r="L13" s="332" t="s">
        <v>248</v>
      </c>
    </row>
    <row r="14" spans="1:12" ht="57" x14ac:dyDescent="0.25">
      <c r="A14" s="317" t="s">
        <v>359</v>
      </c>
      <c r="B14" s="325" t="s">
        <v>54</v>
      </c>
      <c r="C14" s="69" t="s">
        <v>628</v>
      </c>
      <c r="D14" s="69" t="s">
        <v>380</v>
      </c>
      <c r="E14" s="398" t="s">
        <v>629</v>
      </c>
      <c r="F14" s="73" t="s">
        <v>1157</v>
      </c>
      <c r="G14" s="408">
        <f>141.5*12/'Average wages'!B5</f>
        <v>3.4896551289043357E-2</v>
      </c>
      <c r="H14" s="398" t="s">
        <v>377</v>
      </c>
      <c r="I14" s="128" t="s">
        <v>630</v>
      </c>
      <c r="J14" s="533" t="str">
        <f>"For children aged 19 or over, there is a means test against their own income, with an income disregard of EUR 10,000 ("&amp;TEXT(10000/'Average wages'!B5,"0%")&amp;" of AW), [not modelled]"</f>
        <v>For children aged 19 or over, there is a means test against their own income, with an income disregard of EUR 10,000 (21% of AW), [not modelled]</v>
      </c>
      <c r="K14" s="122" t="s">
        <v>864</v>
      </c>
      <c r="L14" s="112" t="s">
        <v>95</v>
      </c>
    </row>
    <row r="15" spans="1:12" x14ac:dyDescent="0.25">
      <c r="A15" s="317" t="s">
        <v>361</v>
      </c>
      <c r="B15" s="130" t="s">
        <v>54</v>
      </c>
      <c r="C15" s="326" t="s">
        <v>1158</v>
      </c>
      <c r="D15" s="326" t="s">
        <v>380</v>
      </c>
      <c r="E15" s="399" t="s">
        <v>629</v>
      </c>
      <c r="F15" s="191" t="s">
        <v>845</v>
      </c>
      <c r="G15" s="409">
        <f>700.8/'Average wages'!B5</f>
        <v>1.4402534242262417E-2</v>
      </c>
      <c r="H15" s="399">
        <v>0</v>
      </c>
      <c r="I15" s="127">
        <v>0</v>
      </c>
      <c r="J15" s="535" t="s">
        <v>95</v>
      </c>
      <c r="K15" s="120" t="s">
        <v>95</v>
      </c>
      <c r="L15" s="330" t="s">
        <v>95</v>
      </c>
    </row>
    <row r="16" spans="1:12" x14ac:dyDescent="0.25">
      <c r="A16" s="317" t="s">
        <v>360</v>
      </c>
      <c r="B16" s="130" t="s">
        <v>54</v>
      </c>
      <c r="C16" s="326" t="s">
        <v>382</v>
      </c>
      <c r="D16" s="326" t="s">
        <v>380</v>
      </c>
      <c r="E16" s="399" t="s">
        <v>839</v>
      </c>
      <c r="F16" s="191" t="s">
        <v>123</v>
      </c>
      <c r="G16" s="410">
        <f>100/'Average wages'!B5</f>
        <v>2.0551561418753451E-3</v>
      </c>
      <c r="H16" s="399">
        <v>0</v>
      </c>
      <c r="I16" s="127">
        <v>0</v>
      </c>
      <c r="J16" s="535" t="s">
        <v>95</v>
      </c>
      <c r="K16" s="120" t="s">
        <v>95</v>
      </c>
      <c r="L16" s="330" t="s">
        <v>95</v>
      </c>
    </row>
    <row r="17" spans="1:12" ht="34.200000000000003" x14ac:dyDescent="0.25">
      <c r="A17" s="317" t="s">
        <v>362</v>
      </c>
      <c r="B17" s="130" t="s">
        <v>54</v>
      </c>
      <c r="C17" s="326" t="s">
        <v>631</v>
      </c>
      <c r="D17" s="327" t="s">
        <v>438</v>
      </c>
      <c r="E17" s="399" t="s">
        <v>381</v>
      </c>
      <c r="F17" s="191" t="s">
        <v>1159</v>
      </c>
      <c r="G17" s="409">
        <f>494/'Average wages'!B5</f>
        <v>1.0152471340864203E-2</v>
      </c>
      <c r="H17" s="399">
        <v>0</v>
      </c>
      <c r="I17" s="127" t="s">
        <v>398</v>
      </c>
      <c r="J17" s="535" t="s">
        <v>1160</v>
      </c>
      <c r="K17" s="120" t="s">
        <v>1161</v>
      </c>
      <c r="L17" s="330" t="s">
        <v>123</v>
      </c>
    </row>
    <row r="18" spans="1:12" ht="22.8" x14ac:dyDescent="0.25">
      <c r="A18" s="317"/>
      <c r="B18" s="193" t="s">
        <v>54</v>
      </c>
      <c r="C18" s="328" t="s">
        <v>1162</v>
      </c>
      <c r="D18" s="327" t="s">
        <v>394</v>
      </c>
      <c r="E18" s="399" t="s">
        <v>381</v>
      </c>
      <c r="F18" s="191" t="s">
        <v>845</v>
      </c>
      <c r="G18" s="409">
        <f>1500/'Average wages'!B5</f>
        <v>3.0827342128130174E-2</v>
      </c>
      <c r="H18" s="399" t="s">
        <v>398</v>
      </c>
      <c r="I18" s="127">
        <v>0</v>
      </c>
      <c r="J18" s="535" t="s">
        <v>1163</v>
      </c>
      <c r="K18" s="524" t="s">
        <v>1163</v>
      </c>
      <c r="L18" s="330" t="s">
        <v>1163</v>
      </c>
    </row>
    <row r="19" spans="1:12" ht="34.200000000000003" x14ac:dyDescent="0.25">
      <c r="A19" s="317"/>
      <c r="B19" s="329" t="s">
        <v>978</v>
      </c>
      <c r="C19" s="209" t="s">
        <v>383</v>
      </c>
      <c r="D19" s="209" t="s">
        <v>380</v>
      </c>
      <c r="E19" s="398" t="s">
        <v>384</v>
      </c>
      <c r="F19" s="215" t="s">
        <v>123</v>
      </c>
      <c r="G19" s="408">
        <f>(163.2+51)*12/'Average wages'!$B$6</f>
        <v>5.3863832326410156E-2</v>
      </c>
      <c r="H19" s="421">
        <v>0</v>
      </c>
      <c r="I19" s="194">
        <v>0</v>
      </c>
      <c r="J19" s="428" t="str">
        <f>"EUR 30,986 ("&amp;TEXT(30986/'Average wages'!$B$6,"0%")&amp;" of AW)" &amp;CHAR(10)&amp;"EUR 61,200 ("&amp;TEXT(61200/'Average wages'!$B$6,"0%")&amp;" of AW)"</f>
        <v>EUR 30,986 (65% of AW)
EUR 61,200 (128% of AW)</v>
      </c>
      <c r="K19" s="429" t="s">
        <v>980</v>
      </c>
      <c r="L19" s="112" t="s">
        <v>123</v>
      </c>
    </row>
    <row r="20" spans="1:12" ht="57" x14ac:dyDescent="0.25">
      <c r="A20" s="317"/>
      <c r="B20" s="79" t="s">
        <v>975</v>
      </c>
      <c r="C20" s="210" t="s">
        <v>383</v>
      </c>
      <c r="D20" s="210" t="s">
        <v>380</v>
      </c>
      <c r="E20" s="399" t="s">
        <v>384</v>
      </c>
      <c r="F20" s="216" t="s">
        <v>123</v>
      </c>
      <c r="G20" s="409">
        <f>(160+40)*12/'Average wages'!$B$6</f>
        <v>5.0293027382269061E-2</v>
      </c>
      <c r="H20" s="422" t="s">
        <v>377</v>
      </c>
      <c r="I20" s="121" t="s">
        <v>377</v>
      </c>
      <c r="J20" s="430" t="str">
        <f>"EUR 31,000 ("&amp;TEXT(31000/'Average wages'!$B$6,"0%")&amp;" of AW)" &amp;CHAR(10)&amp;"EUR 45,000 ("&amp;TEXT(45000/'Average wages'!$B$6,"0%")&amp;" of AW)"</f>
        <v>EUR 31,000 (65% of AW)
EUR 45,000 (94% of AW)</v>
      </c>
      <c r="K20" s="431" t="s">
        <v>981</v>
      </c>
      <c r="L20" s="330" t="s">
        <v>123</v>
      </c>
    </row>
    <row r="21" spans="1:12" ht="22.8" x14ac:dyDescent="0.25">
      <c r="A21" s="317"/>
      <c r="B21" s="79" t="s">
        <v>974</v>
      </c>
      <c r="C21" s="210" t="s">
        <v>383</v>
      </c>
      <c r="D21" s="210" t="s">
        <v>380</v>
      </c>
      <c r="E21" s="399" t="s">
        <v>384</v>
      </c>
      <c r="F21" s="216" t="s">
        <v>123</v>
      </c>
      <c r="G21" s="409">
        <f>((155+55+25)*12 + 30)/'Average wages'!$B$6</f>
        <v>5.9722970016444513E-2</v>
      </c>
      <c r="H21" s="422" t="s">
        <v>977</v>
      </c>
      <c r="I21" s="121">
        <v>0</v>
      </c>
      <c r="J21" s="430" t="str">
        <f>"EUR 30,000 ("&amp;TEXT(30000/'Average wages'!$B$6,"0%")&amp;" of AW)" &amp;CHAR(10)&amp;"EUR 50,000 ("&amp;TEXT(50000/'Average wages'!$B$6,"0%")&amp;" of AW)"</f>
        <v>EUR 30,000 (63% of AW)
EUR 50,000 (105% of AW)</v>
      </c>
      <c r="K21" s="431" t="s">
        <v>982</v>
      </c>
      <c r="L21" s="330" t="s">
        <v>123</v>
      </c>
    </row>
    <row r="22" spans="1:12" x14ac:dyDescent="0.25">
      <c r="A22" s="317"/>
      <c r="B22" s="79" t="s">
        <v>976</v>
      </c>
      <c r="C22" s="210" t="s">
        <v>383</v>
      </c>
      <c r="D22" s="210" t="s">
        <v>380</v>
      </c>
      <c r="E22" s="399" t="s">
        <v>384</v>
      </c>
      <c r="F22" s="216" t="s">
        <v>123</v>
      </c>
      <c r="G22" s="409">
        <f>((157*12)+52)/'Average wages'!$B$6</f>
        <v>4.0569708755030374E-2</v>
      </c>
      <c r="H22" s="399" t="s">
        <v>377</v>
      </c>
      <c r="I22" s="121" t="s">
        <v>979</v>
      </c>
      <c r="J22" s="535" t="s">
        <v>95</v>
      </c>
      <c r="K22" s="120" t="s">
        <v>95</v>
      </c>
      <c r="L22" s="330" t="s">
        <v>123</v>
      </c>
    </row>
    <row r="23" spans="1:12" x14ac:dyDescent="0.25">
      <c r="A23" s="317"/>
      <c r="B23" s="79" t="s">
        <v>975</v>
      </c>
      <c r="C23" s="210" t="s">
        <v>385</v>
      </c>
      <c r="D23" s="210" t="s">
        <v>380</v>
      </c>
      <c r="E23" s="399" t="s">
        <v>384</v>
      </c>
      <c r="F23" s="216" t="s">
        <v>416</v>
      </c>
      <c r="G23" s="409">
        <f>(10*12)/'Average wages'!B4</f>
        <v>1.3206986495856309E-3</v>
      </c>
      <c r="H23" s="399">
        <v>0</v>
      </c>
      <c r="I23" s="121">
        <v>0</v>
      </c>
      <c r="J23" s="535" t="s">
        <v>95</v>
      </c>
      <c r="K23" s="120" t="s">
        <v>95</v>
      </c>
      <c r="L23" s="330" t="s">
        <v>123</v>
      </c>
    </row>
    <row r="24" spans="1:12" ht="22.8" x14ac:dyDescent="0.25">
      <c r="A24" s="317"/>
      <c r="B24" s="79" t="s">
        <v>974</v>
      </c>
      <c r="C24" s="210" t="s">
        <v>385</v>
      </c>
      <c r="D24" s="210" t="s">
        <v>380</v>
      </c>
      <c r="E24" s="399" t="s">
        <v>384</v>
      </c>
      <c r="F24" s="216" t="s">
        <v>416</v>
      </c>
      <c r="G24" s="409">
        <f>((20+10)*12)/'Average wages'!B5</f>
        <v>7.3985621107512415E-3</v>
      </c>
      <c r="H24" s="399">
        <v>0</v>
      </c>
      <c r="I24" s="121">
        <v>0</v>
      </c>
      <c r="J24" s="430" t="str">
        <f>"EUR 30,000 ("&amp;TEXT(30000/'Average wages'!$B$6,"0%")&amp;" of AW)" &amp;CHAR(10)&amp;"EUR 50,000 ("&amp;TEXT(50000/'Average wages'!$B$6,"0%")&amp;" of AW)"</f>
        <v>EUR 30,000 (63% of AW)
EUR 50,000 (105% of AW)</v>
      </c>
      <c r="K24" s="431" t="s">
        <v>983</v>
      </c>
      <c r="L24" s="330" t="s">
        <v>123</v>
      </c>
    </row>
    <row r="25" spans="1:12" ht="34.200000000000003" x14ac:dyDescent="0.25">
      <c r="A25" s="124" t="s">
        <v>363</v>
      </c>
      <c r="B25" s="331" t="s">
        <v>240</v>
      </c>
      <c r="C25" s="211" t="s">
        <v>386</v>
      </c>
      <c r="D25" s="211" t="s">
        <v>380</v>
      </c>
      <c r="E25" s="400" t="s">
        <v>104</v>
      </c>
      <c r="F25" s="217" t="s">
        <v>973</v>
      </c>
      <c r="G25" s="305">
        <f>84.47*12/'Average wages'!$B$6</f>
        <v>2.124126011490134E-2</v>
      </c>
      <c r="H25" s="400">
        <v>0</v>
      </c>
      <c r="I25" s="322" t="s">
        <v>136</v>
      </c>
      <c r="J25" s="323" t="s">
        <v>95</v>
      </c>
      <c r="K25" s="524" t="s">
        <v>95</v>
      </c>
      <c r="L25" s="332" t="s">
        <v>123</v>
      </c>
    </row>
    <row r="26" spans="1:12" ht="45.6" x14ac:dyDescent="0.25">
      <c r="A26" s="317" t="s">
        <v>359</v>
      </c>
      <c r="B26" s="225" t="s">
        <v>310</v>
      </c>
      <c r="C26" s="210" t="s">
        <v>984</v>
      </c>
      <c r="D26" s="210" t="s">
        <v>380</v>
      </c>
      <c r="E26" s="399">
        <v>17</v>
      </c>
      <c r="F26" s="216" t="s">
        <v>123</v>
      </c>
      <c r="G26" s="409">
        <f>6639/'Average wages'!$B$7</f>
        <v>0.11588083011028361</v>
      </c>
      <c r="H26" s="399" t="s">
        <v>398</v>
      </c>
      <c r="I26" s="127">
        <v>0</v>
      </c>
      <c r="J26" s="320" t="str">
        <f>"CAD 31,120 ("&amp;TEXT(31120/'Average wages'!$B$7,"0%")&amp;" of AW) of adjusted family net income" &amp;CHAR(10)&amp; "CAD 67,426 ("&amp;TEXT(67426/'Average wages'!$B$7,"0%")&amp;" of AW) of adjusted family net income"</f>
        <v>CAD 31,120 (54% of AW) of adjusted family net income
CAD 67,426 (118% of AW) of adjusted family net income</v>
      </c>
      <c r="K26" s="120" t="s">
        <v>985</v>
      </c>
      <c r="L26" s="330" t="s">
        <v>104</v>
      </c>
    </row>
    <row r="27" spans="1:12" ht="34.200000000000003" x14ac:dyDescent="0.25">
      <c r="A27" s="317" t="s">
        <v>361</v>
      </c>
      <c r="B27" s="222" t="s">
        <v>310</v>
      </c>
      <c r="C27" s="210" t="s">
        <v>388</v>
      </c>
      <c r="D27" s="210" t="s">
        <v>387</v>
      </c>
      <c r="E27" s="399" t="s">
        <v>104</v>
      </c>
      <c r="F27" s="216" t="s">
        <v>123</v>
      </c>
      <c r="G27" s="409">
        <f>(1922-1059)/'Average wages'!B7</f>
        <v>1.5063286095070755E-2</v>
      </c>
      <c r="H27" s="399">
        <v>0</v>
      </c>
      <c r="I27" s="127" t="s">
        <v>398</v>
      </c>
      <c r="J27" s="320" t="str">
        <f>"CAD 16,593 ("&amp;TEXT(16593/'Average wages'!B7,"0%")&amp;" of AW)"</f>
        <v>CAD 16,593 (29% of AW)</v>
      </c>
      <c r="K27" s="120">
        <v>0.15</v>
      </c>
      <c r="L27" s="330" t="s">
        <v>104</v>
      </c>
    </row>
    <row r="28" spans="1:12" ht="22.8" x14ac:dyDescent="0.25">
      <c r="A28" s="317" t="s">
        <v>364</v>
      </c>
      <c r="B28" s="225" t="s">
        <v>1418</v>
      </c>
      <c r="C28" s="210" t="s">
        <v>986</v>
      </c>
      <c r="D28" s="210" t="s">
        <v>380</v>
      </c>
      <c r="E28" s="399">
        <v>17</v>
      </c>
      <c r="F28" s="216" t="s">
        <v>123</v>
      </c>
      <c r="G28" s="409">
        <f>1434/'Average wages'!$B$7</f>
        <v>2.5029840394358589E-2</v>
      </c>
      <c r="H28" s="399">
        <v>0</v>
      </c>
      <c r="I28" s="127">
        <v>0</v>
      </c>
      <c r="J28" s="320" t="str">
        <f>"CAD 21,887 ("&amp;TEXT(21887/'Average wages'!$B$7,"0%")&amp;" of AW) of adjusted family net income"</f>
        <v>CAD 21,887 (38% of AW) of adjusted family net income</v>
      </c>
      <c r="K28" s="120">
        <v>0.08</v>
      </c>
      <c r="L28" s="330" t="s">
        <v>104</v>
      </c>
    </row>
    <row r="29" spans="1:12" ht="34.200000000000003" x14ac:dyDescent="0.25">
      <c r="A29" s="317" t="s">
        <v>365</v>
      </c>
      <c r="B29" s="225" t="s">
        <v>1418</v>
      </c>
      <c r="C29" s="566" t="s">
        <v>389</v>
      </c>
      <c r="D29" s="210" t="s">
        <v>387</v>
      </c>
      <c r="E29" s="399">
        <v>17</v>
      </c>
      <c r="F29" s="216" t="s">
        <v>123</v>
      </c>
      <c r="G29" s="409">
        <f>301/'Average wages'!$B$7</f>
        <v>5.2538228442830792E-3</v>
      </c>
      <c r="H29" s="399">
        <v>0</v>
      </c>
      <c r="I29" s="127">
        <v>0</v>
      </c>
      <c r="J29" s="320" t="str">
        <f>"CAD 28,944 ("&amp;TEXT(28944/'Average wages'!B7,"0%")&amp;" of AW) of net family income"</f>
        <v>CAD 28,944 (51% of AW) of net family income</v>
      </c>
      <c r="K29" s="120">
        <v>0.04</v>
      </c>
      <c r="L29" s="330" t="s">
        <v>104</v>
      </c>
    </row>
    <row r="30" spans="1:12" ht="34.200000000000003" x14ac:dyDescent="0.25">
      <c r="A30" s="317" t="s">
        <v>366</v>
      </c>
      <c r="B30" s="222" t="s">
        <v>310</v>
      </c>
      <c r="C30" s="566" t="s">
        <v>390</v>
      </c>
      <c r="D30" s="210" t="s">
        <v>387</v>
      </c>
      <c r="E30" s="399">
        <v>18</v>
      </c>
      <c r="F30" s="216" t="s">
        <v>123</v>
      </c>
      <c r="G30" s="409">
        <f>153/'Average wages'!B7</f>
        <v>2.670547824502695E-3</v>
      </c>
      <c r="H30" s="399">
        <v>0</v>
      </c>
      <c r="I30" s="127">
        <v>0</v>
      </c>
      <c r="J30" s="320" t="str">
        <f>"CAD 37,789 ("&amp;TEXT(37789/'Average wages'!B7,"0%")&amp;" of AW) of net family income"</f>
        <v>CAD 37,789 (66% of AW) of net family income</v>
      </c>
      <c r="K30" s="120">
        <v>0.05</v>
      </c>
      <c r="L30" s="330" t="s">
        <v>104</v>
      </c>
    </row>
    <row r="31" spans="1:12" ht="45.6" x14ac:dyDescent="0.25">
      <c r="A31" s="124" t="s">
        <v>362</v>
      </c>
      <c r="B31" s="225" t="s">
        <v>1418</v>
      </c>
      <c r="C31" s="210" t="s">
        <v>391</v>
      </c>
      <c r="D31" s="210" t="s">
        <v>387</v>
      </c>
      <c r="E31" s="399">
        <v>17</v>
      </c>
      <c r="F31" s="216" t="s">
        <v>416</v>
      </c>
      <c r="G31" s="409">
        <f>(290-153)/'Average wages'!B7</f>
        <v>2.3912748493913017E-3</v>
      </c>
      <c r="H31" s="399">
        <v>0</v>
      </c>
      <c r="I31" s="121" t="s">
        <v>136</v>
      </c>
      <c r="J31" s="320" t="str">
        <f>"As above, withdrawal of Goods and Services Tax Credit begins at "&amp;J30</f>
        <v>As above, withdrawal of Goods and Services Tax Credit begins at CAD 37,789 (66% of AW) of net family income</v>
      </c>
      <c r="K31" s="120">
        <v>0.05</v>
      </c>
      <c r="L31" s="330" t="s">
        <v>104</v>
      </c>
    </row>
    <row r="32" spans="1:12" ht="34.200000000000003" x14ac:dyDescent="0.25">
      <c r="A32" s="124" t="s">
        <v>363</v>
      </c>
      <c r="B32" s="225" t="s">
        <v>1418</v>
      </c>
      <c r="C32" s="210" t="s">
        <v>392</v>
      </c>
      <c r="D32" s="210" t="s">
        <v>387</v>
      </c>
      <c r="E32" s="399">
        <v>17</v>
      </c>
      <c r="F32" s="216" t="s">
        <v>123</v>
      </c>
      <c r="G32" s="409">
        <f>1984.35/'Average wages'!B7</f>
        <v>3.4635958010143283E-2</v>
      </c>
      <c r="H32" s="399">
        <v>0</v>
      </c>
      <c r="I32" s="121" t="s">
        <v>136</v>
      </c>
      <c r="J32" s="320" t="s">
        <v>860</v>
      </c>
      <c r="K32" s="120">
        <v>0.15</v>
      </c>
      <c r="L32" s="330" t="s">
        <v>104</v>
      </c>
    </row>
    <row r="33" spans="1:12" ht="22.8" x14ac:dyDescent="0.25">
      <c r="A33" s="124" t="s">
        <v>368</v>
      </c>
      <c r="B33" s="393" t="s">
        <v>1418</v>
      </c>
      <c r="C33" s="211" t="s">
        <v>393</v>
      </c>
      <c r="D33" s="211" t="s">
        <v>394</v>
      </c>
      <c r="E33" s="400">
        <v>17</v>
      </c>
      <c r="F33" s="217" t="s">
        <v>123</v>
      </c>
      <c r="G33" s="305">
        <f>462.38/'Average wages'!B6</f>
        <v>9.689370833755654E-3</v>
      </c>
      <c r="H33" s="400">
        <v>0</v>
      </c>
      <c r="I33" s="322" t="s">
        <v>136</v>
      </c>
      <c r="J33" s="323" t="str">
        <f>"CAD 898 ("&amp;TEXT(898/'Average wages'!B7,"0.0%")&amp;" of AW) of dependent's income"</f>
        <v>CAD 898 (1.6% of AW) of dependent's income</v>
      </c>
      <c r="K33" s="524">
        <v>5.0500000000000003E-2</v>
      </c>
      <c r="L33" s="332" t="s">
        <v>104</v>
      </c>
    </row>
    <row r="34" spans="1:12" x14ac:dyDescent="0.25">
      <c r="A34" s="317" t="s">
        <v>359</v>
      </c>
      <c r="B34" s="221" t="s">
        <v>56</v>
      </c>
      <c r="C34" s="577" t="s">
        <v>1447</v>
      </c>
      <c r="D34" s="209"/>
      <c r="E34" s="398"/>
      <c r="F34" s="215"/>
      <c r="G34" s="408"/>
      <c r="H34" s="398"/>
      <c r="I34" s="119"/>
      <c r="J34" s="533"/>
      <c r="K34" s="122"/>
      <c r="L34" s="112"/>
    </row>
    <row r="35" spans="1:12" x14ac:dyDescent="0.25">
      <c r="A35" s="317" t="s">
        <v>360</v>
      </c>
      <c r="B35" s="223" t="s">
        <v>56</v>
      </c>
      <c r="C35" s="578" t="s">
        <v>1447</v>
      </c>
      <c r="D35" s="211"/>
      <c r="E35" s="400"/>
      <c r="F35" s="217"/>
      <c r="G35" s="305"/>
      <c r="H35" s="400"/>
      <c r="I35" s="129"/>
      <c r="J35" s="523"/>
      <c r="K35" s="524"/>
      <c r="L35" s="332"/>
    </row>
    <row r="36" spans="1:12" ht="22.8" x14ac:dyDescent="0.25">
      <c r="A36" s="124" t="s">
        <v>359</v>
      </c>
      <c r="B36" s="224" t="s">
        <v>57</v>
      </c>
      <c r="C36" s="209" t="s">
        <v>1094</v>
      </c>
      <c r="D36" s="209" t="s">
        <v>376</v>
      </c>
      <c r="E36" s="398" t="s">
        <v>397</v>
      </c>
      <c r="F36" s="215" t="s">
        <v>123</v>
      </c>
      <c r="G36" s="408">
        <f>910*12/'[1]Average wages'!B9</f>
        <v>2.6070560592972514E-2</v>
      </c>
      <c r="H36" s="398" t="s">
        <v>377</v>
      </c>
      <c r="I36" s="119">
        <v>0</v>
      </c>
      <c r="J36" s="318" t="s">
        <v>693</v>
      </c>
      <c r="K36" s="122" t="s">
        <v>862</v>
      </c>
      <c r="L36" s="112" t="s">
        <v>248</v>
      </c>
    </row>
    <row r="37" spans="1:12" ht="57" x14ac:dyDescent="0.25">
      <c r="A37" s="124"/>
      <c r="B37" s="393" t="s">
        <v>57</v>
      </c>
      <c r="C37" s="211" t="s">
        <v>1095</v>
      </c>
      <c r="D37" s="211" t="s">
        <v>380</v>
      </c>
      <c r="E37" s="400">
        <v>4</v>
      </c>
      <c r="F37" s="217" t="s">
        <v>1096</v>
      </c>
      <c r="G37" s="305" t="str">
        <f>" ("&amp;TEXT(8333*12*100/'[1]Average wages'!B9,0)&amp;"% of AW)"</f>
        <v xml:space="preserve"> (24% of AW)</v>
      </c>
      <c r="H37" s="400">
        <v>0</v>
      </c>
      <c r="I37" s="322" t="s">
        <v>136</v>
      </c>
      <c r="J37" s="323" t="s">
        <v>95</v>
      </c>
      <c r="K37" s="524" t="s">
        <v>95</v>
      </c>
      <c r="L37" s="332" t="s">
        <v>95</v>
      </c>
    </row>
    <row r="38" spans="1:12" x14ac:dyDescent="0.25">
      <c r="A38" s="124" t="s">
        <v>359</v>
      </c>
      <c r="B38" s="221" t="s">
        <v>58</v>
      </c>
      <c r="C38" s="209" t="s">
        <v>697</v>
      </c>
      <c r="D38" s="209" t="s">
        <v>380</v>
      </c>
      <c r="E38" s="398">
        <v>17</v>
      </c>
      <c r="F38" s="215" t="s">
        <v>123</v>
      </c>
      <c r="G38" s="408">
        <f>3639*4/'Average wages'!B10</f>
        <v>3.3301770413915757E-2</v>
      </c>
      <c r="H38" s="398" t="s">
        <v>398</v>
      </c>
      <c r="I38" s="119">
        <v>0</v>
      </c>
      <c r="J38" s="533" t="str">
        <f>"DKK 800,100 ("&amp;TEXT(100*800100/'Average wages'!B10,0)&amp;"% of AW)"</f>
        <v>DKK 800,100 (183% of AW)</v>
      </c>
      <c r="K38" s="122">
        <v>0.02</v>
      </c>
      <c r="L38" s="112" t="s">
        <v>95</v>
      </c>
    </row>
    <row r="39" spans="1:12" ht="34.200000000000003" x14ac:dyDescent="0.25">
      <c r="A39" s="124" t="s">
        <v>362</v>
      </c>
      <c r="B39" s="222" t="s">
        <v>58</v>
      </c>
      <c r="C39" s="210" t="s">
        <v>988</v>
      </c>
      <c r="D39" s="210" t="s">
        <v>380</v>
      </c>
      <c r="E39" s="399">
        <v>17</v>
      </c>
      <c r="F39" s="216" t="s">
        <v>416</v>
      </c>
      <c r="G39" s="409">
        <f>(5880+5992)/'Average wages'!B10</f>
        <v>2.7161213132317112E-2</v>
      </c>
      <c r="H39" s="399">
        <v>0</v>
      </c>
      <c r="I39" s="333">
        <v>0</v>
      </c>
      <c r="J39" s="535" t="s">
        <v>95</v>
      </c>
      <c r="K39" s="120" t="s">
        <v>95</v>
      </c>
      <c r="L39" s="330" t="s">
        <v>95</v>
      </c>
    </row>
    <row r="40" spans="1:12" ht="22.8" x14ac:dyDescent="0.25">
      <c r="A40" s="124"/>
      <c r="B40" s="223" t="s">
        <v>58</v>
      </c>
      <c r="C40" s="211" t="s">
        <v>987</v>
      </c>
      <c r="D40" s="211" t="s">
        <v>380</v>
      </c>
      <c r="E40" s="400">
        <v>17</v>
      </c>
      <c r="F40" s="217" t="s">
        <v>402</v>
      </c>
      <c r="G40" s="305">
        <f>(16980)/'Average wages'!B9</f>
        <v>4.2211378305838577E-2</v>
      </c>
      <c r="H40" s="400">
        <v>0</v>
      </c>
      <c r="I40" s="129">
        <v>0</v>
      </c>
      <c r="J40" s="523" t="s">
        <v>95</v>
      </c>
      <c r="K40" s="524" t="s">
        <v>95</v>
      </c>
      <c r="L40" s="332" t="s">
        <v>95</v>
      </c>
    </row>
    <row r="41" spans="1:12" ht="34.200000000000003" x14ac:dyDescent="0.25">
      <c r="A41" s="124"/>
      <c r="B41" s="223" t="s">
        <v>58</v>
      </c>
      <c r="C41" s="211" t="s">
        <v>991</v>
      </c>
      <c r="D41" s="211" t="s">
        <v>993</v>
      </c>
      <c r="E41" s="400">
        <v>17</v>
      </c>
      <c r="F41" s="217" t="s">
        <v>123</v>
      </c>
      <c r="G41" s="305">
        <f>(120)/'Average wages'!B9</f>
        <v>2.9831362760309951E-4</v>
      </c>
      <c r="H41" s="400">
        <v>0</v>
      </c>
      <c r="I41" s="129" t="s">
        <v>992</v>
      </c>
      <c r="J41" s="523" t="str">
        <f>"DKK 414 700,100 ("&amp;TEXT(100*414700/'Average wages'!B10,0)&amp;"% of AW)"</f>
        <v>DKK 414 700,100 (95% of AW)</v>
      </c>
      <c r="K41" s="334">
        <v>7.4999999999999997E-2</v>
      </c>
      <c r="L41" s="332" t="s">
        <v>95</v>
      </c>
    </row>
    <row r="42" spans="1:12" x14ac:dyDescent="0.25">
      <c r="A42" s="124" t="s">
        <v>363</v>
      </c>
      <c r="B42" s="223" t="s">
        <v>58</v>
      </c>
      <c r="C42" s="211" t="s">
        <v>989</v>
      </c>
      <c r="D42" s="211" t="s">
        <v>380</v>
      </c>
      <c r="E42" s="400">
        <v>17</v>
      </c>
      <c r="F42" s="217" t="s">
        <v>990</v>
      </c>
      <c r="G42" s="305">
        <f>(556*12)/'Average wages'!B10</f>
        <v>1.5264455358728082E-2</v>
      </c>
      <c r="H42" s="400">
        <v>0</v>
      </c>
      <c r="I42" s="129">
        <v>0</v>
      </c>
      <c r="J42" s="523" t="s">
        <v>95</v>
      </c>
      <c r="K42" s="524" t="s">
        <v>95</v>
      </c>
      <c r="L42" s="332" t="s">
        <v>95</v>
      </c>
    </row>
    <row r="43" spans="1:12" s="251" customFormat="1" ht="22.8" x14ac:dyDescent="0.25">
      <c r="A43" s="124" t="s">
        <v>359</v>
      </c>
      <c r="B43" s="259" t="s">
        <v>59</v>
      </c>
      <c r="C43" s="69" t="s">
        <v>399</v>
      </c>
      <c r="D43" s="69" t="s">
        <v>380</v>
      </c>
      <c r="E43" s="398" t="s">
        <v>400</v>
      </c>
      <c r="F43" s="73" t="s">
        <v>123</v>
      </c>
      <c r="G43" s="408">
        <f>60*12/'Average wages'!B11</f>
        <v>4.3277734304096468E-2</v>
      </c>
      <c r="H43" s="398">
        <v>0</v>
      </c>
      <c r="I43" s="119" t="s">
        <v>1315</v>
      </c>
      <c r="J43" s="533" t="s">
        <v>95</v>
      </c>
      <c r="K43" s="122" t="s">
        <v>95</v>
      </c>
      <c r="L43" s="112" t="s">
        <v>95</v>
      </c>
    </row>
    <row r="44" spans="1:12" s="22" customFormat="1" ht="34.200000000000003" x14ac:dyDescent="0.25">
      <c r="A44" s="124"/>
      <c r="B44" s="130" t="s">
        <v>59</v>
      </c>
      <c r="C44" s="326" t="s">
        <v>1316</v>
      </c>
      <c r="D44" s="326" t="s">
        <v>380</v>
      </c>
      <c r="E44" s="399" t="s">
        <v>400</v>
      </c>
      <c r="F44" s="191" t="s">
        <v>1317</v>
      </c>
      <c r="G44" s="409">
        <f>300*12/'Average wages'!B11</f>
        <v>0.21638867152048236</v>
      </c>
      <c r="H44" s="399">
        <v>0</v>
      </c>
      <c r="I44" s="127" t="s">
        <v>1318</v>
      </c>
      <c r="J44" s="535" t="s">
        <v>95</v>
      </c>
      <c r="K44" s="120" t="s">
        <v>95</v>
      </c>
      <c r="L44" s="330" t="s">
        <v>95</v>
      </c>
    </row>
    <row r="45" spans="1:12" s="22" customFormat="1" ht="22.8" x14ac:dyDescent="0.25">
      <c r="A45" s="124" t="s">
        <v>362</v>
      </c>
      <c r="B45" s="130" t="s">
        <v>59</v>
      </c>
      <c r="C45" s="326" t="s">
        <v>401</v>
      </c>
      <c r="D45" s="326" t="s">
        <v>380</v>
      </c>
      <c r="E45" s="399" t="s">
        <v>400</v>
      </c>
      <c r="F45" s="191" t="s">
        <v>1319</v>
      </c>
      <c r="G45" s="409">
        <f>19.18*12/'Average wages'!B11</f>
        <v>1.3834449065876171E-2</v>
      </c>
      <c r="H45" s="399">
        <v>0</v>
      </c>
      <c r="I45" s="127">
        <v>0</v>
      </c>
      <c r="J45" s="535" t="s">
        <v>95</v>
      </c>
      <c r="K45" s="120" t="s">
        <v>95</v>
      </c>
      <c r="L45" s="330" t="s">
        <v>95</v>
      </c>
    </row>
    <row r="46" spans="1:12" s="22" customFormat="1" x14ac:dyDescent="0.25">
      <c r="A46" s="124" t="s">
        <v>363</v>
      </c>
      <c r="B46" s="130" t="s">
        <v>59</v>
      </c>
      <c r="C46" s="326" t="s">
        <v>665</v>
      </c>
      <c r="D46" s="326" t="s">
        <v>380</v>
      </c>
      <c r="E46" s="399" t="s">
        <v>428</v>
      </c>
      <c r="F46" s="191" t="s">
        <v>402</v>
      </c>
      <c r="G46" s="409">
        <f>100*12/'Average wages'!B11</f>
        <v>7.2129557173494119E-2</v>
      </c>
      <c r="H46" s="399">
        <v>0</v>
      </c>
      <c r="I46" s="127">
        <v>0</v>
      </c>
      <c r="J46" s="535" t="s">
        <v>95</v>
      </c>
      <c r="K46" s="120" t="s">
        <v>95</v>
      </c>
      <c r="L46" s="330" t="s">
        <v>95</v>
      </c>
    </row>
    <row r="47" spans="1:12" s="22" customFormat="1" ht="22.8" x14ac:dyDescent="0.25">
      <c r="A47" s="124"/>
      <c r="B47" s="130" t="s">
        <v>59</v>
      </c>
      <c r="C47" s="326" t="s">
        <v>1320</v>
      </c>
      <c r="D47" s="326" t="s">
        <v>376</v>
      </c>
      <c r="E47" s="399">
        <v>16</v>
      </c>
      <c r="F47" s="191" t="s">
        <v>1321</v>
      </c>
      <c r="G47" s="409">
        <f>1848/'Average wages'!B11</f>
        <v>0.11107951804718094</v>
      </c>
      <c r="H47" s="399">
        <v>0</v>
      </c>
      <c r="I47" s="127" t="s">
        <v>1315</v>
      </c>
      <c r="J47" s="535" t="s">
        <v>95</v>
      </c>
      <c r="K47" s="120" t="s">
        <v>95</v>
      </c>
      <c r="L47" s="330" t="s">
        <v>95</v>
      </c>
    </row>
    <row r="48" spans="1:12" s="251" customFormat="1" x14ac:dyDescent="0.25">
      <c r="A48" s="124" t="s">
        <v>359</v>
      </c>
      <c r="B48" s="259" t="s">
        <v>60</v>
      </c>
      <c r="C48" s="69" t="s">
        <v>403</v>
      </c>
      <c r="D48" s="69" t="s">
        <v>380</v>
      </c>
      <c r="E48" s="398">
        <v>16</v>
      </c>
      <c r="F48" s="73" t="s">
        <v>123</v>
      </c>
      <c r="G48" s="408">
        <f>94.88*12/'Average wages'!B12</f>
        <v>2.4903546839539444E-2</v>
      </c>
      <c r="H48" s="398">
        <v>0</v>
      </c>
      <c r="I48" s="119" t="s">
        <v>377</v>
      </c>
      <c r="J48" s="533" t="s">
        <v>95</v>
      </c>
      <c r="K48" s="122" t="s">
        <v>95</v>
      </c>
      <c r="L48" s="112" t="s">
        <v>95</v>
      </c>
    </row>
    <row r="49" spans="1:12" s="22" customFormat="1" ht="22.8" x14ac:dyDescent="0.25">
      <c r="A49" s="124" t="s">
        <v>362</v>
      </c>
      <c r="B49" s="130" t="s">
        <v>60</v>
      </c>
      <c r="C49" s="326" t="s">
        <v>404</v>
      </c>
      <c r="D49" s="326" t="s">
        <v>380</v>
      </c>
      <c r="E49" s="399">
        <v>16</v>
      </c>
      <c r="F49" s="191" t="s">
        <v>416</v>
      </c>
      <c r="G49" s="409">
        <f>63.3*12/'Average wages'!B12</f>
        <v>1.6614613353107575E-2</v>
      </c>
      <c r="H49" s="399">
        <v>0</v>
      </c>
      <c r="I49" s="127">
        <v>0</v>
      </c>
      <c r="J49" s="535" t="s">
        <v>95</v>
      </c>
      <c r="K49" s="120" t="s">
        <v>95</v>
      </c>
      <c r="L49" s="330" t="s">
        <v>95</v>
      </c>
    </row>
    <row r="50" spans="1:12" s="22" customFormat="1" ht="22.8" x14ac:dyDescent="0.25">
      <c r="A50" s="124"/>
      <c r="B50" s="130" t="s">
        <v>60</v>
      </c>
      <c r="C50" s="326" t="s">
        <v>1322</v>
      </c>
      <c r="D50" s="326" t="s">
        <v>380</v>
      </c>
      <c r="E50" s="399">
        <v>6</v>
      </c>
      <c r="F50" s="191" t="s">
        <v>1323</v>
      </c>
      <c r="G50" s="409">
        <f>341.69*12/'Average wages'!B12</f>
        <v>8.9684790467983055E-2</v>
      </c>
      <c r="H50" s="399" t="s">
        <v>1324</v>
      </c>
      <c r="I50" s="127" t="s">
        <v>1325</v>
      </c>
      <c r="J50" s="535" t="s">
        <v>95</v>
      </c>
      <c r="K50" s="120" t="s">
        <v>95</v>
      </c>
      <c r="L50" s="330" t="s">
        <v>95</v>
      </c>
    </row>
    <row r="51" spans="1:12" s="22" customFormat="1" ht="45.6" x14ac:dyDescent="0.25">
      <c r="A51" s="124"/>
      <c r="B51" s="130" t="s">
        <v>60</v>
      </c>
      <c r="C51" s="326" t="s">
        <v>1326</v>
      </c>
      <c r="D51" s="326" t="s">
        <v>376</v>
      </c>
      <c r="E51" s="399">
        <v>2</v>
      </c>
      <c r="F51" s="191" t="s">
        <v>1327</v>
      </c>
      <c r="G51" s="409">
        <f>182.66*12/'Average wages'!B12</f>
        <v>4.7943527252427016E-2</v>
      </c>
      <c r="H51" s="399">
        <v>0</v>
      </c>
      <c r="I51" s="127" t="s">
        <v>136</v>
      </c>
      <c r="J51" s="535" t="str">
        <f>"Gross earnings including some benefits below EUR 1160-1700 per month depending on family type ("&amp;TEXT(1160*12/'Average wages'!B12,"0%")&amp;"-"&amp;TEXT(1700*12/'Average wages'!B12,"0%")&amp;" of AW)"</f>
        <v>Gross earnings including some benefits below EUR 1160-1700 per month depending on family type (30%-45% of AW)</v>
      </c>
      <c r="K51" s="120" t="s">
        <v>1328</v>
      </c>
      <c r="L51" s="330" t="s">
        <v>123</v>
      </c>
    </row>
    <row r="52" spans="1:12" s="22" customFormat="1" ht="22.8" x14ac:dyDescent="0.25">
      <c r="A52" s="124"/>
      <c r="B52" s="130" t="s">
        <v>1304</v>
      </c>
      <c r="C52" s="326" t="s">
        <v>1329</v>
      </c>
      <c r="D52" s="326" t="s">
        <v>380</v>
      </c>
      <c r="E52" s="401">
        <v>1.5</v>
      </c>
      <c r="F52" s="191" t="s">
        <v>1330</v>
      </c>
      <c r="G52" s="409">
        <f>264*12/'Average wages'!B12</f>
        <v>6.9293174174097943E-2</v>
      </c>
      <c r="H52" s="399">
        <v>0</v>
      </c>
      <c r="I52" s="127" t="s">
        <v>136</v>
      </c>
      <c r="J52" s="535" t="s">
        <v>95</v>
      </c>
      <c r="K52" s="120" t="s">
        <v>95</v>
      </c>
      <c r="L52" s="330" t="s">
        <v>95</v>
      </c>
    </row>
    <row r="53" spans="1:12" s="22" customFormat="1" ht="22.8" x14ac:dyDescent="0.25">
      <c r="A53" s="124"/>
      <c r="B53" s="130" t="s">
        <v>60</v>
      </c>
      <c r="C53" s="326" t="s">
        <v>1331</v>
      </c>
      <c r="D53" s="326" t="s">
        <v>380</v>
      </c>
      <c r="E53" s="401">
        <v>2</v>
      </c>
      <c r="F53" s="191" t="s">
        <v>1332</v>
      </c>
      <c r="G53" s="409">
        <f>243.58*12/'Average wages'!B12</f>
        <v>6.3933452141389319E-2</v>
      </c>
      <c r="H53" s="399">
        <v>0</v>
      </c>
      <c r="I53" s="127" t="s">
        <v>136</v>
      </c>
      <c r="J53" s="535" t="s">
        <v>95</v>
      </c>
      <c r="K53" s="120" t="s">
        <v>95</v>
      </c>
      <c r="L53" s="330" t="s">
        <v>95</v>
      </c>
    </row>
    <row r="54" spans="1:12" s="22" customFormat="1" ht="22.8" x14ac:dyDescent="0.25">
      <c r="A54" s="124"/>
      <c r="B54" s="130" t="s">
        <v>60</v>
      </c>
      <c r="C54" s="326" t="s">
        <v>1333</v>
      </c>
      <c r="D54" s="326" t="s">
        <v>380</v>
      </c>
      <c r="E54" s="401">
        <v>8</v>
      </c>
      <c r="F54" s="191" t="s">
        <v>1332</v>
      </c>
      <c r="G54" s="409">
        <f>97.85*12/'Average wages'!B12</f>
        <v>2.5683095048998041E-2</v>
      </c>
      <c r="H54" s="399">
        <v>0</v>
      </c>
      <c r="I54" s="127" t="s">
        <v>136</v>
      </c>
      <c r="J54" s="535" t="s">
        <v>95</v>
      </c>
      <c r="K54" s="120" t="s">
        <v>95</v>
      </c>
      <c r="L54" s="330" t="s">
        <v>95</v>
      </c>
    </row>
    <row r="55" spans="1:12" s="237" customFormat="1" ht="22.8" x14ac:dyDescent="0.25">
      <c r="A55" s="124" t="s">
        <v>363</v>
      </c>
      <c r="B55" s="335" t="s">
        <v>60</v>
      </c>
      <c r="C55" s="328" t="s">
        <v>656</v>
      </c>
      <c r="D55" s="328" t="s">
        <v>380</v>
      </c>
      <c r="E55" s="400">
        <v>17</v>
      </c>
      <c r="F55" s="232" t="s">
        <v>1334</v>
      </c>
      <c r="G55" s="305">
        <f>167.01*12/'Average wages'!B12</f>
        <v>4.3835806889454917E-2</v>
      </c>
      <c r="H55" s="400">
        <v>0</v>
      </c>
      <c r="I55" s="129">
        <v>0</v>
      </c>
      <c r="J55" s="523" t="s">
        <v>95</v>
      </c>
      <c r="K55" s="524" t="s">
        <v>95</v>
      </c>
      <c r="L55" s="332" t="s">
        <v>95</v>
      </c>
    </row>
    <row r="56" spans="1:12" ht="34.200000000000003" x14ac:dyDescent="0.25">
      <c r="A56" s="317" t="s">
        <v>359</v>
      </c>
      <c r="B56" s="221" t="s">
        <v>61</v>
      </c>
      <c r="C56" s="209" t="s">
        <v>405</v>
      </c>
      <c r="D56" s="209" t="s">
        <v>380</v>
      </c>
      <c r="E56" s="398">
        <v>19</v>
      </c>
      <c r="F56" s="215" t="s">
        <v>995</v>
      </c>
      <c r="G56" s="408" t="str">
        <f>TEXT((131.55*12)/'Average wages'!$B$13,"0.0%") &amp; " * "</f>
        <v xml:space="preserve">4.1% * </v>
      </c>
      <c r="H56" s="398" t="s">
        <v>377</v>
      </c>
      <c r="I56" s="119" t="s">
        <v>855</v>
      </c>
      <c r="J56" s="533" t="s">
        <v>95</v>
      </c>
      <c r="K56" s="122" t="s">
        <v>95</v>
      </c>
      <c r="L56" s="112" t="s">
        <v>95</v>
      </c>
    </row>
    <row r="57" spans="1:12" ht="34.200000000000003" x14ac:dyDescent="0.25">
      <c r="A57" s="317" t="s">
        <v>360</v>
      </c>
      <c r="B57" s="222" t="s">
        <v>61</v>
      </c>
      <c r="C57" s="210" t="s">
        <v>406</v>
      </c>
      <c r="D57" s="210" t="s">
        <v>376</v>
      </c>
      <c r="E57" s="399">
        <v>2</v>
      </c>
      <c r="F57" s="216" t="s">
        <v>123</v>
      </c>
      <c r="G57" s="409">
        <f>(184.62*12)/'Average wages'!$B$13</f>
        <v>5.8014127106303839E-2</v>
      </c>
      <c r="H57" s="399">
        <v>0</v>
      </c>
      <c r="I57" s="127">
        <v>0</v>
      </c>
      <c r="J57" s="320" t="s">
        <v>407</v>
      </c>
      <c r="K57" s="120" t="s">
        <v>865</v>
      </c>
      <c r="L57" s="330" t="s">
        <v>104</v>
      </c>
    </row>
    <row r="58" spans="1:12" ht="34.200000000000003" x14ac:dyDescent="0.25">
      <c r="A58" s="317" t="s">
        <v>361</v>
      </c>
      <c r="B58" s="222" t="s">
        <v>61</v>
      </c>
      <c r="C58" s="210" t="s">
        <v>727</v>
      </c>
      <c r="D58" s="210" t="s">
        <v>376</v>
      </c>
      <c r="E58" s="399" t="s">
        <v>840</v>
      </c>
      <c r="F58" s="216" t="s">
        <v>994</v>
      </c>
      <c r="G58" s="409" t="str">
        <f>TEXT((256.85 *12)/'Average wages'!$B$13,"0.0%") &amp; " ** "</f>
        <v xml:space="preserve">8.1% ** </v>
      </c>
      <c r="H58" s="399">
        <v>0</v>
      </c>
      <c r="I58" s="127">
        <v>0</v>
      </c>
      <c r="J58" s="320" t="s">
        <v>407</v>
      </c>
      <c r="K58" s="120" t="s">
        <v>865</v>
      </c>
      <c r="L58" s="330" t="s">
        <v>104</v>
      </c>
    </row>
    <row r="59" spans="1:12" ht="34.200000000000003" x14ac:dyDescent="0.25">
      <c r="A59" s="317" t="s">
        <v>364</v>
      </c>
      <c r="B59" s="222" t="s">
        <v>61</v>
      </c>
      <c r="C59" s="210" t="s">
        <v>408</v>
      </c>
      <c r="D59" s="210" t="s">
        <v>376</v>
      </c>
      <c r="E59" s="399" t="s">
        <v>841</v>
      </c>
      <c r="F59" s="216" t="s">
        <v>123</v>
      </c>
      <c r="G59" s="409">
        <f>(389.19)/'Average wages'!$B$13</f>
        <v>1.0191437424846708E-2</v>
      </c>
      <c r="H59" s="399" t="s">
        <v>377</v>
      </c>
      <c r="I59" s="127">
        <v>0</v>
      </c>
      <c r="J59" s="320" t="s">
        <v>407</v>
      </c>
      <c r="K59" s="120" t="s">
        <v>865</v>
      </c>
      <c r="L59" s="330" t="s">
        <v>104</v>
      </c>
    </row>
    <row r="60" spans="1:12" ht="22.8" x14ac:dyDescent="0.25">
      <c r="A60" s="124" t="s">
        <v>363</v>
      </c>
      <c r="B60" s="222" t="s">
        <v>61</v>
      </c>
      <c r="C60" s="210" t="s">
        <v>409</v>
      </c>
      <c r="D60" s="210" t="s">
        <v>380</v>
      </c>
      <c r="E60" s="399">
        <v>19</v>
      </c>
      <c r="F60" s="216" t="s">
        <v>416</v>
      </c>
      <c r="G60" s="409">
        <f>(115.64*12)/'Average wages'!$B$13</f>
        <v>3.6338173862923713E-2</v>
      </c>
      <c r="H60" s="399">
        <v>0</v>
      </c>
      <c r="I60" s="127">
        <v>0</v>
      </c>
      <c r="J60" s="535" t="s">
        <v>95</v>
      </c>
      <c r="K60" s="120" t="s">
        <v>95</v>
      </c>
      <c r="L60" s="330" t="s">
        <v>95</v>
      </c>
    </row>
    <row r="61" spans="1:12" ht="22.8" x14ac:dyDescent="0.25">
      <c r="A61" s="124" t="s">
        <v>361</v>
      </c>
      <c r="B61" s="325" t="s">
        <v>62</v>
      </c>
      <c r="C61" s="69" t="s">
        <v>1171</v>
      </c>
      <c r="D61" s="336" t="s">
        <v>380</v>
      </c>
      <c r="E61" s="398" t="s">
        <v>410</v>
      </c>
      <c r="F61" s="73" t="s">
        <v>1172</v>
      </c>
      <c r="G61" s="408">
        <f>204*12/'Average wages'!B14</f>
        <v>4.6983105737243701E-2</v>
      </c>
      <c r="H61" s="398">
        <v>0</v>
      </c>
      <c r="I61" s="128" t="s">
        <v>602</v>
      </c>
      <c r="J61" s="196" t="s">
        <v>95</v>
      </c>
      <c r="K61" s="123" t="s">
        <v>95</v>
      </c>
      <c r="L61" s="112" t="s">
        <v>95</v>
      </c>
    </row>
    <row r="62" spans="1:12" ht="57" x14ac:dyDescent="0.25">
      <c r="A62" s="124" t="s">
        <v>362</v>
      </c>
      <c r="B62" s="130" t="s">
        <v>62</v>
      </c>
      <c r="C62" s="326" t="s">
        <v>1173</v>
      </c>
      <c r="D62" s="326" t="s">
        <v>376</v>
      </c>
      <c r="E62" s="399" t="s">
        <v>410</v>
      </c>
      <c r="F62" s="191" t="s">
        <v>1174</v>
      </c>
      <c r="G62" s="409">
        <f>185*12/'Average wages'!B14</f>
        <v>4.2607228242108254E-2</v>
      </c>
      <c r="H62" s="399">
        <v>0</v>
      </c>
      <c r="I62" s="127">
        <v>0</v>
      </c>
      <c r="J62" s="535" t="s">
        <v>861</v>
      </c>
      <c r="K62" s="120">
        <v>0.45</v>
      </c>
      <c r="L62" s="330" t="s">
        <v>248</v>
      </c>
    </row>
    <row r="63" spans="1:12" ht="79.8" x14ac:dyDescent="0.25">
      <c r="A63" s="124" t="s">
        <v>363</v>
      </c>
      <c r="B63" s="130" t="s">
        <v>62</v>
      </c>
      <c r="C63" s="326" t="s">
        <v>411</v>
      </c>
      <c r="D63" s="326" t="s">
        <v>376</v>
      </c>
      <c r="E63" s="399" t="s">
        <v>410</v>
      </c>
      <c r="F63" s="191" t="s">
        <v>846</v>
      </c>
      <c r="G63" s="410">
        <f>(15*12+150)/'Average wages'!B14</f>
        <v>6.3335069008539297E-3</v>
      </c>
      <c r="H63" s="399">
        <v>0</v>
      </c>
      <c r="I63" s="127">
        <v>0</v>
      </c>
      <c r="J63" s="535" t="s">
        <v>95</v>
      </c>
      <c r="K63" s="120" t="s">
        <v>866</v>
      </c>
      <c r="L63" s="330" t="s">
        <v>95</v>
      </c>
    </row>
    <row r="64" spans="1:12" ht="45.6" x14ac:dyDescent="0.25">
      <c r="A64" s="124"/>
      <c r="B64" s="130" t="s">
        <v>62</v>
      </c>
      <c r="C64" s="326" t="s">
        <v>1175</v>
      </c>
      <c r="D64" s="326" t="s">
        <v>1176</v>
      </c>
      <c r="E64" s="399" t="s">
        <v>410</v>
      </c>
      <c r="F64" s="191" t="s">
        <v>1177</v>
      </c>
      <c r="G64" s="409">
        <f>7812/'Average wages'!B14</f>
        <v>0.14993138154385122</v>
      </c>
      <c r="H64" s="399">
        <v>0</v>
      </c>
      <c r="I64" s="127">
        <v>0</v>
      </c>
      <c r="J64" s="535" t="s">
        <v>95</v>
      </c>
      <c r="K64" s="20" t="s">
        <v>95</v>
      </c>
      <c r="L64" s="330" t="s">
        <v>95</v>
      </c>
    </row>
    <row r="65" spans="1:12" ht="22.8" x14ac:dyDescent="0.25">
      <c r="A65" s="124" t="s">
        <v>367</v>
      </c>
      <c r="B65" s="130" t="s">
        <v>62</v>
      </c>
      <c r="C65" s="326" t="s">
        <v>603</v>
      </c>
      <c r="D65" s="326" t="s">
        <v>380</v>
      </c>
      <c r="E65" s="399" t="s">
        <v>410</v>
      </c>
      <c r="F65" s="191" t="s">
        <v>1178</v>
      </c>
      <c r="G65" s="409">
        <f>4008/'Average wages'!B14</f>
        <v>7.6923320177644097E-2</v>
      </c>
      <c r="H65" s="399">
        <v>0</v>
      </c>
      <c r="I65" s="127" t="s">
        <v>604</v>
      </c>
      <c r="J65" s="535" t="s">
        <v>95</v>
      </c>
      <c r="K65" s="20" t="s">
        <v>95</v>
      </c>
      <c r="L65" s="330" t="s">
        <v>95</v>
      </c>
    </row>
    <row r="66" spans="1:12" ht="45.6" x14ac:dyDescent="0.25">
      <c r="A66" s="124" t="s">
        <v>359</v>
      </c>
      <c r="B66" s="130" t="s">
        <v>62</v>
      </c>
      <c r="C66" s="326" t="s">
        <v>605</v>
      </c>
      <c r="D66" s="326" t="s">
        <v>376</v>
      </c>
      <c r="E66" s="399" t="s">
        <v>410</v>
      </c>
      <c r="F66" s="191" t="s">
        <v>412</v>
      </c>
      <c r="G66" s="409">
        <f>0.36*432/'Average wages'!B14</f>
        <v>2.9848090703660699E-3</v>
      </c>
      <c r="H66" s="399">
        <v>0</v>
      </c>
      <c r="I66" s="127" t="s">
        <v>607</v>
      </c>
      <c r="J66" s="535" t="s">
        <v>861</v>
      </c>
      <c r="K66" s="321" t="s">
        <v>867</v>
      </c>
      <c r="L66" s="330" t="s">
        <v>248</v>
      </c>
    </row>
    <row r="67" spans="1:12" ht="91.2" x14ac:dyDescent="0.25">
      <c r="A67" s="124" t="s">
        <v>360</v>
      </c>
      <c r="B67" s="193" t="s">
        <v>62</v>
      </c>
      <c r="C67" s="328" t="s">
        <v>1179</v>
      </c>
      <c r="D67" s="328" t="s">
        <v>380</v>
      </c>
      <c r="E67" s="400">
        <v>17</v>
      </c>
      <c r="F67" s="232" t="s">
        <v>1180</v>
      </c>
      <c r="G67" s="305">
        <f>293*12/'Average wages'!B14</f>
        <v>6.7480637161825507E-2</v>
      </c>
      <c r="H67" s="400" t="s">
        <v>377</v>
      </c>
      <c r="I67" s="129">
        <v>0</v>
      </c>
      <c r="J67" s="523" t="s">
        <v>95</v>
      </c>
      <c r="K67" s="337" t="s">
        <v>95</v>
      </c>
      <c r="L67" s="332" t="s">
        <v>95</v>
      </c>
    </row>
    <row r="68" spans="1:12" s="251" customFormat="1" ht="34.200000000000003" x14ac:dyDescent="0.25">
      <c r="A68" s="124" t="s">
        <v>361</v>
      </c>
      <c r="B68" s="259" t="s">
        <v>369</v>
      </c>
      <c r="C68" s="69" t="s">
        <v>1335</v>
      </c>
      <c r="D68" s="69" t="s">
        <v>376</v>
      </c>
      <c r="E68" s="398" t="s">
        <v>735</v>
      </c>
      <c r="F68" s="73" t="s">
        <v>123</v>
      </c>
      <c r="G68" s="411">
        <f>70*12/'Average wages'!B15</f>
        <v>3.9736575469366112E-2</v>
      </c>
      <c r="H68" s="398">
        <v>0</v>
      </c>
      <c r="I68" s="119" t="s">
        <v>1336</v>
      </c>
      <c r="J68" s="533" t="str">
        <f>"Equivalised taxable family income after social contributions of EUR 6000 per year ("&amp;TEXT(6000/'Average wages'!B15,"0%")&amp;" of AW)"</f>
        <v>Equivalised taxable family income after social contributions of EUR 6000 per year (28% of AW)</v>
      </c>
      <c r="K68" s="122" t="str">
        <f>"Withdrawn in steps down to zero at reference income above EUR 15000 ("&amp;TEXT(15000/'Average wages'!B15,"0%")&amp;" of AW)"</f>
        <v>Withdrawn in steps down to zero at reference income above EUR 15000 (71% of AW)</v>
      </c>
      <c r="L68" s="112" t="s">
        <v>123</v>
      </c>
    </row>
    <row r="69" spans="1:12" s="237" customFormat="1" ht="22.8" x14ac:dyDescent="0.25">
      <c r="A69" s="124" t="s">
        <v>362</v>
      </c>
      <c r="B69" s="335" t="s">
        <v>369</v>
      </c>
      <c r="C69" s="328" t="s">
        <v>501</v>
      </c>
      <c r="D69" s="328" t="s">
        <v>376</v>
      </c>
      <c r="E69" s="400" t="s">
        <v>104</v>
      </c>
      <c r="F69" s="232" t="s">
        <v>498</v>
      </c>
      <c r="G69" s="305">
        <f>810/'Average wages'!B15</f>
        <v>3.8317412059745898E-2</v>
      </c>
      <c r="H69" s="400">
        <v>0</v>
      </c>
      <c r="I69" s="129" t="s">
        <v>1337</v>
      </c>
      <c r="J69" s="523" t="str">
        <f>"Taxable income of EUR 12000 per year ("&amp;TEXT(12000/'Average wages'!B15,"0%")&amp;" of AW)"</f>
        <v>Taxable income of EUR 12000 per year (57% of AW)</v>
      </c>
      <c r="K69" s="524" t="s">
        <v>1338</v>
      </c>
      <c r="L69" s="332" t="s">
        <v>123</v>
      </c>
    </row>
    <row r="70" spans="1:12" ht="22.8" x14ac:dyDescent="0.25">
      <c r="A70" s="124" t="s">
        <v>361</v>
      </c>
      <c r="B70" s="221" t="s">
        <v>64</v>
      </c>
      <c r="C70" s="209" t="s">
        <v>413</v>
      </c>
      <c r="D70" s="209" t="s">
        <v>380</v>
      </c>
      <c r="E70" s="398" t="s">
        <v>1097</v>
      </c>
      <c r="F70" s="215" t="s">
        <v>123</v>
      </c>
      <c r="G70" s="408">
        <f>12200*12/'Average wages'!B16</f>
        <v>2.9212287287863951E-2</v>
      </c>
      <c r="H70" s="398">
        <v>0</v>
      </c>
      <c r="I70" s="194" t="s">
        <v>856</v>
      </c>
      <c r="J70" s="533" t="s">
        <v>95</v>
      </c>
      <c r="K70" s="122" t="s">
        <v>95</v>
      </c>
      <c r="L70" s="112" t="s">
        <v>104</v>
      </c>
    </row>
    <row r="71" spans="1:12" ht="68.400000000000006" x14ac:dyDescent="0.25">
      <c r="A71" s="124" t="s">
        <v>359</v>
      </c>
      <c r="B71" s="79" t="s">
        <v>64</v>
      </c>
      <c r="C71" s="210" t="s">
        <v>1098</v>
      </c>
      <c r="D71" s="338" t="s">
        <v>376</v>
      </c>
      <c r="E71" s="399" t="s">
        <v>1097</v>
      </c>
      <c r="F71" s="216" t="s">
        <v>1099</v>
      </c>
      <c r="G71" s="409">
        <f>13000/'Average wages'!B16</f>
        <v>2.593987259168247E-3</v>
      </c>
      <c r="H71" s="399">
        <v>0</v>
      </c>
      <c r="I71" s="127">
        <v>0</v>
      </c>
      <c r="J71" s="535" t="str">
        <f>CONCATENATE("HUF ",38475*12," (",LEFT(38475*12/'Average wages'!B16*100,5),"% of AW)")</f>
        <v>HUF 461700 (9.212% of AW)</v>
      </c>
      <c r="K71" s="321" t="s">
        <v>862</v>
      </c>
      <c r="L71" s="330" t="s">
        <v>104</v>
      </c>
    </row>
    <row r="72" spans="1:12" ht="22.8" x14ac:dyDescent="0.25">
      <c r="B72" s="79" t="s">
        <v>64</v>
      </c>
      <c r="C72" s="210" t="s">
        <v>1100</v>
      </c>
      <c r="D72" s="338" t="s">
        <v>380</v>
      </c>
      <c r="E72" s="399">
        <v>2</v>
      </c>
      <c r="F72" s="216" t="s">
        <v>123</v>
      </c>
      <c r="G72" s="409">
        <f>28500*12/'Average wages'!B16</f>
        <v>6.8241818664272341E-2</v>
      </c>
      <c r="H72" s="399">
        <v>0</v>
      </c>
      <c r="I72" s="127" t="s">
        <v>1101</v>
      </c>
      <c r="J72" s="535" t="s">
        <v>95</v>
      </c>
      <c r="K72" s="120" t="s">
        <v>95</v>
      </c>
      <c r="L72" s="330" t="s">
        <v>104</v>
      </c>
    </row>
    <row r="73" spans="1:12" ht="22.8" x14ac:dyDescent="0.25">
      <c r="B73" s="79" t="s">
        <v>64</v>
      </c>
      <c r="C73" s="210" t="s">
        <v>1102</v>
      </c>
      <c r="D73" s="338" t="s">
        <v>380</v>
      </c>
      <c r="E73" s="399">
        <v>8</v>
      </c>
      <c r="F73" s="216" t="s">
        <v>1103</v>
      </c>
      <c r="G73" s="409">
        <f>28500*12/'Average wages'!B16</f>
        <v>6.8241818664272341E-2</v>
      </c>
      <c r="H73" s="399">
        <v>0</v>
      </c>
      <c r="I73" s="121" t="s">
        <v>136</v>
      </c>
      <c r="J73" s="535" t="s">
        <v>95</v>
      </c>
      <c r="K73" s="120" t="s">
        <v>95</v>
      </c>
      <c r="L73" s="330" t="s">
        <v>104</v>
      </c>
    </row>
    <row r="74" spans="1:12" ht="22.8" x14ac:dyDescent="0.25">
      <c r="B74" s="222" t="s">
        <v>64</v>
      </c>
      <c r="C74" s="210" t="s">
        <v>1104</v>
      </c>
      <c r="D74" s="338" t="s">
        <v>432</v>
      </c>
      <c r="E74" s="399" t="s">
        <v>384</v>
      </c>
      <c r="F74" s="216" t="s">
        <v>123</v>
      </c>
      <c r="G74" s="409">
        <f>10000*12/'Average wages'!B16</f>
        <v>2.3944497776937666E-2</v>
      </c>
      <c r="H74" s="399">
        <v>0</v>
      </c>
      <c r="I74" s="121" t="s">
        <v>1105</v>
      </c>
      <c r="J74" s="535" t="s">
        <v>95</v>
      </c>
      <c r="K74" s="120" t="s">
        <v>95</v>
      </c>
      <c r="L74" s="330" t="s">
        <v>104</v>
      </c>
    </row>
    <row r="75" spans="1:12" s="251" customFormat="1" ht="34.200000000000003" x14ac:dyDescent="0.25">
      <c r="A75" s="124" t="s">
        <v>363</v>
      </c>
      <c r="B75" s="259" t="s">
        <v>65</v>
      </c>
      <c r="C75" s="69" t="s">
        <v>415</v>
      </c>
      <c r="D75" s="69" t="s">
        <v>376</v>
      </c>
      <c r="E75" s="398">
        <v>17</v>
      </c>
      <c r="F75" s="73" t="s">
        <v>1339</v>
      </c>
      <c r="G75" s="408">
        <f>234500/'Average wages'!B17</f>
        <v>2.5359298021481416E-2</v>
      </c>
      <c r="H75" s="398">
        <v>0</v>
      </c>
      <c r="I75" s="119" t="s">
        <v>1337</v>
      </c>
      <c r="J75" s="533" t="str">
        <f>"ISK 7,800,000 ("&amp;TEXT(7800000/'Average wages'!B17,"0%")&amp;" of AW)"</f>
        <v>ISK 7,800,000 (84% of AW)</v>
      </c>
      <c r="K75" s="122" t="s">
        <v>1340</v>
      </c>
      <c r="L75" s="112" t="s">
        <v>104</v>
      </c>
    </row>
    <row r="76" spans="1:12" s="22" customFormat="1" ht="45.6" x14ac:dyDescent="0.25">
      <c r="A76" s="124"/>
      <c r="B76" s="130" t="s">
        <v>65</v>
      </c>
      <c r="C76" s="326" t="s">
        <v>1341</v>
      </c>
      <c r="D76" s="326" t="s">
        <v>376</v>
      </c>
      <c r="E76" s="399">
        <v>6</v>
      </c>
      <c r="F76" s="191" t="s">
        <v>123</v>
      </c>
      <c r="G76" s="409">
        <f>140000/'Average wages'!B17</f>
        <v>1.51398794158098E-2</v>
      </c>
      <c r="H76" s="399">
        <v>0</v>
      </c>
      <c r="I76" s="127">
        <v>0</v>
      </c>
      <c r="J76" s="535" t="str">
        <f>"ISK 7,800,000 ("&amp;TEXT(7800000/'Average wages'!B17,"0%")&amp;" of AW) for couples
ISK 3,900,000 ("&amp;TEXT(3900000/'Average wages'!B17,"0%")&amp;" of AW) for lone parents"</f>
        <v>ISK 7,800,000 (84% of AW) for couples
ISK 3,900,000 (42% of AW) for lone parents</v>
      </c>
      <c r="K76" s="120" t="s">
        <v>1342</v>
      </c>
      <c r="L76" s="330" t="s">
        <v>104</v>
      </c>
    </row>
    <row r="77" spans="1:12" s="22" customFormat="1" ht="34.200000000000003" x14ac:dyDescent="0.25">
      <c r="A77" s="124" t="s">
        <v>359</v>
      </c>
      <c r="B77" s="130" t="s">
        <v>65</v>
      </c>
      <c r="C77" s="326" t="s">
        <v>1343</v>
      </c>
      <c r="D77" s="326" t="s">
        <v>376</v>
      </c>
      <c r="E77" s="399">
        <v>17</v>
      </c>
      <c r="F77" s="191" t="s">
        <v>416</v>
      </c>
      <c r="G77" s="409">
        <f>390700/'Average wages'!B17</f>
        <v>4.2251077769692065E-2</v>
      </c>
      <c r="H77" s="399">
        <v>0</v>
      </c>
      <c r="I77" s="121" t="s">
        <v>1337</v>
      </c>
      <c r="J77" s="535" t="str">
        <f>"ISK 3,900,000 ("&amp;TEXT(3900000/'Average wages'!B17,"0%")&amp;" of AW) "</f>
        <v xml:space="preserve">ISK 3,900,000 (42% of AW) </v>
      </c>
      <c r="K77" s="120" t="s">
        <v>1340</v>
      </c>
      <c r="L77" s="330" t="s">
        <v>104</v>
      </c>
    </row>
    <row r="78" spans="1:12" s="237" customFormat="1" ht="22.8" x14ac:dyDescent="0.25">
      <c r="A78" s="124" t="s">
        <v>362</v>
      </c>
      <c r="B78" s="335" t="s">
        <v>65</v>
      </c>
      <c r="C78" s="328" t="s">
        <v>417</v>
      </c>
      <c r="D78" s="328" t="s">
        <v>380</v>
      </c>
      <c r="E78" s="400">
        <v>17</v>
      </c>
      <c r="F78" s="232" t="s">
        <v>461</v>
      </c>
      <c r="G78" s="305">
        <f>123552/'Average wages'!B17</f>
        <v>1.3361159868443802E-2</v>
      </c>
      <c r="H78" s="400">
        <v>0</v>
      </c>
      <c r="I78" s="322" t="s">
        <v>1344</v>
      </c>
      <c r="J78" s="523" t="s">
        <v>95</v>
      </c>
      <c r="K78" s="524" t="s">
        <v>95</v>
      </c>
      <c r="L78" s="332" t="s">
        <v>95</v>
      </c>
    </row>
    <row r="79" spans="1:12" s="346" customFormat="1" x14ac:dyDescent="0.25">
      <c r="A79" s="339" t="s">
        <v>363</v>
      </c>
      <c r="B79" s="221" t="s">
        <v>66</v>
      </c>
      <c r="C79" s="340" t="s">
        <v>418</v>
      </c>
      <c r="D79" s="341" t="s">
        <v>380</v>
      </c>
      <c r="E79" s="402" t="s">
        <v>419</v>
      </c>
      <c r="F79" s="342" t="s">
        <v>123</v>
      </c>
      <c r="G79" s="412">
        <f>140*12/'Average wages'!B18</f>
        <v>3.5985818051611912E-2</v>
      </c>
      <c r="H79" s="402">
        <v>0</v>
      </c>
      <c r="I79" s="343">
        <v>0</v>
      </c>
      <c r="J79" s="344" t="s">
        <v>95</v>
      </c>
      <c r="K79" s="345" t="s">
        <v>95</v>
      </c>
      <c r="L79" s="432" t="s">
        <v>95</v>
      </c>
    </row>
    <row r="80" spans="1:12" s="346" customFormat="1" ht="34.200000000000003" x14ac:dyDescent="0.25">
      <c r="A80" s="339" t="s">
        <v>367</v>
      </c>
      <c r="B80" s="79" t="s">
        <v>1437</v>
      </c>
      <c r="C80" s="348" t="s">
        <v>420</v>
      </c>
      <c r="D80" s="348" t="s">
        <v>376</v>
      </c>
      <c r="E80" s="403" t="s">
        <v>666</v>
      </c>
      <c r="F80" s="347" t="str">
        <f>"Earnings must be below EUR 425 per week ("&amp;TEXT(425*52*100/'Average wages'!B18,0)&amp;"% of AW)"</f>
        <v>Earnings must be below EUR 425 per week (47% of AW)</v>
      </c>
      <c r="G80" s="413">
        <f>36*52/'Average wages'!B18</f>
        <v>4.0098482971796127E-2</v>
      </c>
      <c r="H80" s="403">
        <v>0</v>
      </c>
      <c r="I80" s="349">
        <v>0</v>
      </c>
      <c r="J80" s="350" t="str">
        <f>"The first EUR 165/week of weekly earnings are disregarded ("&amp;TEXT(165*52*100/'Average wages'!B18,0)&amp;"% of AW)"</f>
        <v>The first EUR 165/week of weekly earnings are disregarded (18% of AW)</v>
      </c>
      <c r="K80" s="351" t="str">
        <f>"50%
Benefit fully withdrawn if earnings exceed EUR 425/week ("&amp;TEXT(425*52*100/'Average wages'!B18,0)&amp;"% of AW)"</f>
        <v>50%
Benefit fully withdrawn if earnings exceed EUR 425/week (47% of AW)</v>
      </c>
      <c r="L80" s="433" t="s">
        <v>104</v>
      </c>
    </row>
    <row r="81" spans="1:12" s="346" customFormat="1" ht="34.200000000000003" x14ac:dyDescent="0.25">
      <c r="A81" s="339"/>
      <c r="B81" s="79" t="s">
        <v>1437</v>
      </c>
      <c r="C81" s="354" t="s">
        <v>667</v>
      </c>
      <c r="D81" s="348" t="s">
        <v>376</v>
      </c>
      <c r="E81" s="403" t="s">
        <v>1106</v>
      </c>
      <c r="F81" s="347" t="s">
        <v>847</v>
      </c>
      <c r="G81" s="413">
        <f>36*52/'Average wages'!B18</f>
        <v>4.0098482971796127E-2</v>
      </c>
      <c r="H81" s="403">
        <v>0</v>
      </c>
      <c r="I81" s="349">
        <v>0</v>
      </c>
      <c r="J81" s="350" t="str">
        <f>J80</f>
        <v>The first EUR 165/week of weekly earnings are disregarded (18% of AW)</v>
      </c>
      <c r="K81" s="352">
        <v>0.5</v>
      </c>
      <c r="L81" s="433" t="s">
        <v>104</v>
      </c>
    </row>
    <row r="82" spans="1:12" s="346" customFormat="1" ht="22.8" x14ac:dyDescent="0.25">
      <c r="A82" s="353" t="s">
        <v>359</v>
      </c>
      <c r="B82" s="222" t="s">
        <v>66</v>
      </c>
      <c r="C82" s="354" t="s">
        <v>669</v>
      </c>
      <c r="D82" s="348" t="s">
        <v>394</v>
      </c>
      <c r="E82" s="403" t="s">
        <v>104</v>
      </c>
      <c r="F82" s="347" t="s">
        <v>123</v>
      </c>
      <c r="G82" s="413">
        <f>1650/'Average wages'!B18</f>
        <v>3.5343214157833126E-2</v>
      </c>
      <c r="H82" s="403">
        <v>0</v>
      </c>
      <c r="I82" s="349" t="s">
        <v>136</v>
      </c>
      <c r="J82" s="355" t="s">
        <v>95</v>
      </c>
      <c r="K82" s="351" t="s">
        <v>95</v>
      </c>
      <c r="L82" s="433" t="s">
        <v>95</v>
      </c>
    </row>
    <row r="83" spans="1:12" ht="22.8" x14ac:dyDescent="0.25">
      <c r="A83" s="317" t="s">
        <v>361</v>
      </c>
      <c r="B83" s="221" t="s">
        <v>1438</v>
      </c>
      <c r="C83" s="209" t="s">
        <v>829</v>
      </c>
      <c r="D83" s="209" t="s">
        <v>380</v>
      </c>
      <c r="E83" s="398">
        <v>17</v>
      </c>
      <c r="F83" s="215" t="s">
        <v>123</v>
      </c>
      <c r="G83" s="411">
        <f>152*12/'Average wages'!$B$19</f>
        <v>1.1610983012764314E-2</v>
      </c>
      <c r="H83" s="398">
        <v>0</v>
      </c>
      <c r="I83" s="194" t="s">
        <v>857</v>
      </c>
      <c r="J83" s="533" t="s">
        <v>95</v>
      </c>
      <c r="K83" s="122" t="s">
        <v>95</v>
      </c>
      <c r="L83" s="112" t="s">
        <v>95</v>
      </c>
    </row>
    <row r="84" spans="1:12" ht="34.200000000000003" x14ac:dyDescent="0.25">
      <c r="A84" s="317" t="s">
        <v>364</v>
      </c>
      <c r="B84" s="79" t="s">
        <v>1438</v>
      </c>
      <c r="C84" s="210" t="s">
        <v>830</v>
      </c>
      <c r="D84" s="210" t="s">
        <v>376</v>
      </c>
      <c r="E84" s="399">
        <v>17</v>
      </c>
      <c r="F84" s="216" t="s">
        <v>848</v>
      </c>
      <c r="G84" s="410">
        <f>0.7*152*12/'Average wages'!$B$19</f>
        <v>8.12768810893502E-3</v>
      </c>
      <c r="H84" s="399">
        <v>0</v>
      </c>
      <c r="I84" s="121" t="s">
        <v>858</v>
      </c>
      <c r="J84" s="535" t="s">
        <v>95</v>
      </c>
      <c r="K84" s="120" t="s">
        <v>95</v>
      </c>
      <c r="L84" s="330" t="s">
        <v>95</v>
      </c>
    </row>
    <row r="85" spans="1:12" ht="22.8" x14ac:dyDescent="0.25">
      <c r="A85" s="124" t="s">
        <v>362</v>
      </c>
      <c r="B85" s="79" t="s">
        <v>67</v>
      </c>
      <c r="C85" s="210" t="s">
        <v>429</v>
      </c>
      <c r="D85" s="210" t="s">
        <v>394</v>
      </c>
      <c r="E85" s="399">
        <v>17</v>
      </c>
      <c r="F85" s="216" t="s">
        <v>424</v>
      </c>
      <c r="G85" s="409">
        <f>6570/'Average wages'!$B$19</f>
        <v>4.1822455259792515E-2</v>
      </c>
      <c r="H85" s="399" t="s">
        <v>748</v>
      </c>
      <c r="I85" s="121">
        <v>0</v>
      </c>
      <c r="J85" s="535" t="s">
        <v>95</v>
      </c>
      <c r="K85" s="120" t="s">
        <v>95</v>
      </c>
      <c r="L85" s="330" t="s">
        <v>95</v>
      </c>
    </row>
    <row r="86" spans="1:12" ht="22.8" x14ac:dyDescent="0.25">
      <c r="A86" s="124"/>
      <c r="B86" s="79" t="s">
        <v>67</v>
      </c>
      <c r="C86" s="210" t="s">
        <v>749</v>
      </c>
      <c r="D86" s="210" t="s">
        <v>394</v>
      </c>
      <c r="E86" s="399">
        <v>17</v>
      </c>
      <c r="F86" s="216" t="s">
        <v>424</v>
      </c>
      <c r="G86" s="409">
        <f>2628/'Average wages'!$B$19</f>
        <v>1.6728982103917007E-2</v>
      </c>
      <c r="H86" s="399">
        <v>0</v>
      </c>
      <c r="I86" s="121" t="s">
        <v>692</v>
      </c>
      <c r="J86" s="535" t="s">
        <v>95</v>
      </c>
      <c r="K86" s="120" t="s">
        <v>95</v>
      </c>
      <c r="L86" s="330" t="s">
        <v>95</v>
      </c>
    </row>
    <row r="87" spans="1:12" ht="34.200000000000003" x14ac:dyDescent="0.25">
      <c r="A87" s="124" t="s">
        <v>363</v>
      </c>
      <c r="B87" s="79" t="s">
        <v>67</v>
      </c>
      <c r="C87" s="210" t="s">
        <v>425</v>
      </c>
      <c r="D87" s="210" t="s">
        <v>387</v>
      </c>
      <c r="E87" s="399">
        <v>17</v>
      </c>
      <c r="F87" s="216" t="s">
        <v>426</v>
      </c>
      <c r="G87" s="409">
        <f>330*12*(1+0.5+0.3)/'Average wages'!$B$19</f>
        <v>4.5374499405144757E-2</v>
      </c>
      <c r="H87" s="399">
        <v>0</v>
      </c>
      <c r="I87" s="127" t="s">
        <v>748</v>
      </c>
      <c r="J87" s="535" t="s">
        <v>95</v>
      </c>
      <c r="K87" s="120" t="s">
        <v>427</v>
      </c>
      <c r="L87" s="330" t="s">
        <v>95</v>
      </c>
    </row>
    <row r="88" spans="1:12" ht="34.200000000000003" x14ac:dyDescent="0.25">
      <c r="A88" s="317" t="s">
        <v>360</v>
      </c>
      <c r="B88" s="222" t="s">
        <v>67</v>
      </c>
      <c r="C88" s="211" t="s">
        <v>831</v>
      </c>
      <c r="D88" s="211" t="s">
        <v>376</v>
      </c>
      <c r="E88" s="400" t="s">
        <v>996</v>
      </c>
      <c r="F88" s="217" t="s">
        <v>750</v>
      </c>
      <c r="G88" s="305">
        <f>(0.18*8804)/'Average wages'!$B$19</f>
        <v>1.0087805372800364E-2</v>
      </c>
      <c r="H88" s="400" t="s">
        <v>748</v>
      </c>
      <c r="I88" s="129">
        <v>0</v>
      </c>
      <c r="J88" s="523" t="s">
        <v>95</v>
      </c>
      <c r="K88" s="524" t="s">
        <v>95</v>
      </c>
      <c r="L88" s="332" t="s">
        <v>95</v>
      </c>
    </row>
    <row r="89" spans="1:12" ht="102.6" x14ac:dyDescent="0.25">
      <c r="A89" s="317"/>
      <c r="B89" s="221" t="s">
        <v>68</v>
      </c>
      <c r="C89" s="209" t="s">
        <v>1107</v>
      </c>
      <c r="D89" s="209" t="s">
        <v>376</v>
      </c>
      <c r="E89" s="398">
        <v>18</v>
      </c>
      <c r="F89" s="215" t="s">
        <v>1108</v>
      </c>
      <c r="G89" s="408">
        <v>6.0249499999999998E-2</v>
      </c>
      <c r="H89" s="398">
        <v>0</v>
      </c>
      <c r="I89" s="119" t="s">
        <v>692</v>
      </c>
      <c r="J89" s="533" t="s">
        <v>95</v>
      </c>
      <c r="K89" s="122" t="str">
        <f>"Benefit withdrawn completely if ISEE indicator is above EUR 8788.99 ("&amp;TEXT(100*8788.99/'[1]Average wages'!B20,0)&amp;"% of AW)"</f>
        <v>Benefit withdrawn completely if ISEE indicator is above EUR 8788.99 (28% of AW)</v>
      </c>
      <c r="L89" s="112" t="s">
        <v>1109</v>
      </c>
    </row>
    <row r="90" spans="1:12" s="358" customFormat="1" ht="102.6" x14ac:dyDescent="0.25">
      <c r="A90" s="356"/>
      <c r="B90" s="222" t="s">
        <v>68</v>
      </c>
      <c r="C90" s="348" t="s">
        <v>740</v>
      </c>
      <c r="D90" s="348" t="s">
        <v>376</v>
      </c>
      <c r="E90" s="403">
        <v>1</v>
      </c>
      <c r="F90" s="347" t="s">
        <v>123</v>
      </c>
      <c r="G90" s="413">
        <f>160*12/'[1]Average wages'!B20</f>
        <v>6.1309020389783593E-2</v>
      </c>
      <c r="H90" s="403">
        <v>0</v>
      </c>
      <c r="I90" s="357">
        <v>0</v>
      </c>
      <c r="J90" s="355" t="s">
        <v>95</v>
      </c>
      <c r="K90" s="351" t="str">
        <f>"Benefit withdrawn completely if ISEE indicator is above EUR 7000 ("&amp;TEXT(100*7000/'[1]Average wages'!B20,0)&amp;"% of AW)"</f>
        <v>Benefit withdrawn completely if ISEE indicator is above EUR 7000 (22% of AW)</v>
      </c>
      <c r="L90" s="434" t="s">
        <v>1109</v>
      </c>
    </row>
    <row r="91" spans="1:12" s="358" customFormat="1" ht="57" x14ac:dyDescent="0.25">
      <c r="A91" s="356" t="s">
        <v>361</v>
      </c>
      <c r="B91" s="222" t="s">
        <v>68</v>
      </c>
      <c r="C91" s="348" t="s">
        <v>1110</v>
      </c>
      <c r="D91" s="348" t="s">
        <v>376</v>
      </c>
      <c r="E91" s="403" t="s">
        <v>1111</v>
      </c>
      <c r="F91" s="347" t="s">
        <v>1112</v>
      </c>
      <c r="G91" s="413">
        <v>5.2687400000000002E-2</v>
      </c>
      <c r="H91" s="403">
        <v>0</v>
      </c>
      <c r="I91" s="357" t="s">
        <v>377</v>
      </c>
      <c r="J91" s="355" t="s">
        <v>407</v>
      </c>
      <c r="K91" s="351" t="s">
        <v>868</v>
      </c>
      <c r="L91" s="434" t="s">
        <v>123</v>
      </c>
    </row>
    <row r="92" spans="1:12" s="346" customFormat="1" ht="34.200000000000003" x14ac:dyDescent="0.25">
      <c r="A92" s="339" t="s">
        <v>359</v>
      </c>
      <c r="B92" s="222" t="s">
        <v>68</v>
      </c>
      <c r="C92" s="348" t="s">
        <v>429</v>
      </c>
      <c r="D92" s="348" t="s">
        <v>421</v>
      </c>
      <c r="E92" s="403" t="s">
        <v>1097</v>
      </c>
      <c r="F92" s="347" t="s">
        <v>123</v>
      </c>
      <c r="G92" s="413">
        <f>950/'[1]Average wages'!B20</f>
        <v>3.0335192380361673E-2</v>
      </c>
      <c r="H92" s="403" t="s">
        <v>398</v>
      </c>
      <c r="I92" s="357">
        <v>0</v>
      </c>
      <c r="J92" s="355" t="s">
        <v>123</v>
      </c>
      <c r="K92" s="351" t="s">
        <v>407</v>
      </c>
      <c r="L92" s="434" t="s">
        <v>123</v>
      </c>
    </row>
    <row r="93" spans="1:12" s="346" customFormat="1" ht="34.200000000000003" x14ac:dyDescent="0.25">
      <c r="A93" s="339" t="s">
        <v>360</v>
      </c>
      <c r="B93" s="223" t="s">
        <v>68</v>
      </c>
      <c r="C93" s="359" t="s">
        <v>430</v>
      </c>
      <c r="D93" s="359" t="s">
        <v>421</v>
      </c>
      <c r="E93" s="404" t="s">
        <v>1097</v>
      </c>
      <c r="F93" s="360" t="s">
        <v>849</v>
      </c>
      <c r="G93" s="414">
        <f>1200/'[1]Average wages'!B20</f>
        <v>3.8318137743614748E-2</v>
      </c>
      <c r="H93" s="404">
        <v>0</v>
      </c>
      <c r="I93" s="361" t="s">
        <v>692</v>
      </c>
      <c r="J93" s="362" t="s">
        <v>123</v>
      </c>
      <c r="K93" s="363" t="s">
        <v>407</v>
      </c>
      <c r="L93" s="435" t="s">
        <v>123</v>
      </c>
    </row>
    <row r="94" spans="1:12" ht="45.6" x14ac:dyDescent="0.25">
      <c r="A94" s="124" t="s">
        <v>362</v>
      </c>
      <c r="B94" s="221" t="s">
        <v>69</v>
      </c>
      <c r="C94" s="209" t="s">
        <v>396</v>
      </c>
      <c r="D94" s="209" t="s">
        <v>376</v>
      </c>
      <c r="E94" s="398">
        <v>15</v>
      </c>
      <c r="F94" s="215" t="s">
        <v>123</v>
      </c>
      <c r="G94" s="408">
        <f>10000*12/'[1]Average wages'!B21</f>
        <v>2.3464818640123421E-2</v>
      </c>
      <c r="H94" s="398" t="s">
        <v>398</v>
      </c>
      <c r="I94" s="119" t="s">
        <v>676</v>
      </c>
      <c r="J94" s="318" t="str">
        <f>"JPY 9.0 million ("&amp;TEXT(9000709*100/'[1]Average wages'!B21,0)&amp;"% of AW)"</f>
        <v>JPY 9.0 million (176% of AW)</v>
      </c>
      <c r="K94" s="319" t="s">
        <v>1113</v>
      </c>
      <c r="L94" s="112" t="s">
        <v>123</v>
      </c>
    </row>
    <row r="95" spans="1:12" ht="91.2" x14ac:dyDescent="0.25">
      <c r="A95" s="317" t="s">
        <v>360</v>
      </c>
      <c r="B95" s="223" t="s">
        <v>69</v>
      </c>
      <c r="C95" s="211" t="s">
        <v>675</v>
      </c>
      <c r="D95" s="211" t="s">
        <v>376</v>
      </c>
      <c r="E95" s="400">
        <v>18</v>
      </c>
      <c r="F95" s="217" t="s">
        <v>123</v>
      </c>
      <c r="G95" s="305">
        <f>42910*12/'[1]Average wages'!B21</f>
        <v>0.1006875367847696</v>
      </c>
      <c r="H95" s="400">
        <v>0</v>
      </c>
      <c r="I95" s="129" t="s">
        <v>398</v>
      </c>
      <c r="J95" s="323" t="str">
        <f>"Varies by family size: JPY 870000 ("&amp;TEXT(870000*100/'[1]Average wages'!B21,0)&amp;"% of AW)  for one dependent, increases with number of children"</f>
        <v>Varies by family size: JPY 870000 (17% of AW)  for one dependent, increases with number of children</v>
      </c>
      <c r="K95" s="324" t="s">
        <v>1114</v>
      </c>
      <c r="L95" s="332" t="s">
        <v>104</v>
      </c>
    </row>
    <row r="96" spans="1:12" x14ac:dyDescent="0.25">
      <c r="A96" s="124" t="s">
        <v>363</v>
      </c>
      <c r="B96" s="222" t="s">
        <v>70</v>
      </c>
      <c r="C96" s="577" t="s">
        <v>1447</v>
      </c>
      <c r="D96" s="210"/>
      <c r="E96" s="399"/>
      <c r="F96" s="216"/>
      <c r="G96" s="409"/>
      <c r="H96" s="399"/>
      <c r="I96" s="121"/>
      <c r="J96" s="535"/>
      <c r="K96" s="120"/>
      <c r="L96" s="330"/>
    </row>
    <row r="97" spans="1:12" x14ac:dyDescent="0.25">
      <c r="A97" s="124" t="s">
        <v>360</v>
      </c>
      <c r="B97" s="223" t="s">
        <v>70</v>
      </c>
      <c r="C97" s="578" t="s">
        <v>1447</v>
      </c>
      <c r="D97" s="211"/>
      <c r="E97" s="400"/>
      <c r="F97" s="217"/>
      <c r="G97" s="305"/>
      <c r="H97" s="400"/>
      <c r="I97" s="129"/>
      <c r="J97" s="523"/>
      <c r="K97" s="524"/>
      <c r="L97" s="332"/>
    </row>
    <row r="98" spans="1:12" s="251" customFormat="1" x14ac:dyDescent="0.25">
      <c r="A98" s="124" t="s">
        <v>360</v>
      </c>
      <c r="B98" s="364" t="s">
        <v>85</v>
      </c>
      <c r="C98" s="69" t="s">
        <v>457</v>
      </c>
      <c r="D98" s="69" t="s">
        <v>380</v>
      </c>
      <c r="E98" s="398" t="s">
        <v>444</v>
      </c>
      <c r="F98" s="73" t="s">
        <v>123</v>
      </c>
      <c r="G98" s="408">
        <f>11.38*12/'Average wages'!B23</f>
        <v>1.0575673503979617E-2</v>
      </c>
      <c r="H98" s="398">
        <v>0</v>
      </c>
      <c r="I98" s="194" t="s">
        <v>377</v>
      </c>
      <c r="J98" s="533" t="s">
        <v>95</v>
      </c>
      <c r="K98" s="122" t="s">
        <v>95</v>
      </c>
      <c r="L98" s="112" t="s">
        <v>95</v>
      </c>
    </row>
    <row r="99" spans="1:12" s="22" customFormat="1" x14ac:dyDescent="0.25">
      <c r="A99" s="124"/>
      <c r="B99" s="29" t="s">
        <v>85</v>
      </c>
      <c r="C99" s="326" t="s">
        <v>1345</v>
      </c>
      <c r="D99" s="326" t="s">
        <v>380</v>
      </c>
      <c r="E99" s="399">
        <v>2</v>
      </c>
      <c r="F99" s="191" t="s">
        <v>123</v>
      </c>
      <c r="G99" s="409">
        <f>171*12/'Average wages'!B23</f>
        <v>0.15891389887350743</v>
      </c>
      <c r="H99" s="399" t="s">
        <v>748</v>
      </c>
      <c r="I99" s="121">
        <v>0</v>
      </c>
      <c r="J99" s="535" t="s">
        <v>95</v>
      </c>
      <c r="K99" s="120" t="s">
        <v>95</v>
      </c>
      <c r="L99" s="330" t="s">
        <v>95</v>
      </c>
    </row>
    <row r="100" spans="1:12" s="22" customFormat="1" x14ac:dyDescent="0.25">
      <c r="A100" s="124"/>
      <c r="B100" s="29" t="s">
        <v>85</v>
      </c>
      <c r="C100" s="326" t="s">
        <v>1346</v>
      </c>
      <c r="D100" s="326" t="s">
        <v>376</v>
      </c>
      <c r="E100" s="399" t="s">
        <v>395</v>
      </c>
      <c r="F100" s="191" t="s">
        <v>498</v>
      </c>
      <c r="G100" s="409">
        <f>250*12/'Average wages'!B23</f>
        <v>0.23233026151097577</v>
      </c>
      <c r="H100" s="399">
        <v>0</v>
      </c>
      <c r="I100" s="121">
        <v>0</v>
      </c>
      <c r="J100" s="535" t="s">
        <v>95</v>
      </c>
      <c r="K100" s="120" t="s">
        <v>95</v>
      </c>
      <c r="L100" s="330" t="s">
        <v>95</v>
      </c>
    </row>
    <row r="101" spans="1:12" s="22" customFormat="1" ht="22.8" x14ac:dyDescent="0.25">
      <c r="A101" s="124" t="s">
        <v>362</v>
      </c>
      <c r="B101" s="29" t="s">
        <v>85</v>
      </c>
      <c r="C101" s="326" t="s">
        <v>581</v>
      </c>
      <c r="D101" s="326" t="s">
        <v>380</v>
      </c>
      <c r="E101" s="399" t="s">
        <v>428</v>
      </c>
      <c r="F101" s="191" t="s">
        <v>1347</v>
      </c>
      <c r="G101" s="409">
        <f>129*12/'Average wages'!B23</f>
        <v>0.11988241493966351</v>
      </c>
      <c r="H101" s="399" t="s">
        <v>377</v>
      </c>
      <c r="I101" s="127">
        <v>0</v>
      </c>
      <c r="J101" s="535" t="s">
        <v>95</v>
      </c>
      <c r="K101" s="120" t="s">
        <v>95</v>
      </c>
      <c r="L101" s="330" t="s">
        <v>95</v>
      </c>
    </row>
    <row r="102" spans="1:12" s="251" customFormat="1" x14ac:dyDescent="0.25">
      <c r="A102" s="124" t="s">
        <v>360</v>
      </c>
      <c r="B102" s="308" t="s">
        <v>86</v>
      </c>
      <c r="C102" s="336" t="s">
        <v>1348</v>
      </c>
      <c r="D102" s="336" t="s">
        <v>380</v>
      </c>
      <c r="E102" s="405" t="s">
        <v>647</v>
      </c>
      <c r="F102" s="286" t="s">
        <v>123</v>
      </c>
      <c r="G102" s="415">
        <f>1.54*39*12/'Average wages'!B24</f>
        <v>4.3878067431503243E-2</v>
      </c>
      <c r="H102" s="405">
        <v>0</v>
      </c>
      <c r="I102" s="378">
        <v>0</v>
      </c>
      <c r="J102" s="318" t="s">
        <v>95</v>
      </c>
      <c r="K102" s="319" t="s">
        <v>459</v>
      </c>
      <c r="L102" s="436" t="s">
        <v>95</v>
      </c>
    </row>
    <row r="103" spans="1:12" s="22" customFormat="1" ht="68.400000000000006" x14ac:dyDescent="0.25">
      <c r="A103" s="124"/>
      <c r="B103" s="31" t="s">
        <v>86</v>
      </c>
      <c r="C103" s="327" t="s">
        <v>1349</v>
      </c>
      <c r="D103" s="327" t="s">
        <v>376</v>
      </c>
      <c r="E103" s="389" t="s">
        <v>647</v>
      </c>
      <c r="F103" s="244" t="s">
        <v>123</v>
      </c>
      <c r="G103" s="416">
        <f>1.03*39*12/'Average wages'!B24</f>
        <v>2.9347019126265157E-2</v>
      </c>
      <c r="H103" s="389">
        <v>0</v>
      </c>
      <c r="I103" s="423">
        <v>0</v>
      </c>
      <c r="J103" s="320" t="str">
        <f>"For one- and two-child families, net annual income per family member below EUR 3000 ("&amp;TEXT(3000/'Average wages'!B24,"0%")&amp;" of AW); for large families and children with disabilities no income test"</f>
        <v>For one- and two-child families, net annual income per family member below EUR 3000 (18% of AW); for large families and children with disabilities no income test</v>
      </c>
      <c r="K103" s="321" t="s">
        <v>863</v>
      </c>
      <c r="L103" s="437" t="s">
        <v>123</v>
      </c>
    </row>
    <row r="104" spans="1:12" s="237" customFormat="1" ht="22.8" x14ac:dyDescent="0.25">
      <c r="A104" s="124" t="s">
        <v>359</v>
      </c>
      <c r="B104" s="365" t="s">
        <v>86</v>
      </c>
      <c r="C104" s="386" t="s">
        <v>648</v>
      </c>
      <c r="D104" s="386" t="s">
        <v>380</v>
      </c>
      <c r="E104" s="388">
        <v>17</v>
      </c>
      <c r="F104" s="77" t="s">
        <v>458</v>
      </c>
      <c r="G104" s="417">
        <f>1.8*39*12/'Average wages'!B24</f>
        <v>5.1286052842016781E-2</v>
      </c>
      <c r="H104" s="388">
        <v>0</v>
      </c>
      <c r="I104" s="387">
        <v>0</v>
      </c>
      <c r="J104" s="388" t="s">
        <v>95</v>
      </c>
      <c r="K104" s="387" t="s">
        <v>459</v>
      </c>
      <c r="L104" s="438" t="s">
        <v>95</v>
      </c>
    </row>
    <row r="105" spans="1:12" ht="22.8" x14ac:dyDescent="0.25">
      <c r="A105" s="124" t="s">
        <v>361</v>
      </c>
      <c r="B105" s="221" t="s">
        <v>71</v>
      </c>
      <c r="C105" s="209" t="s">
        <v>681</v>
      </c>
      <c r="D105" s="209" t="s">
        <v>380</v>
      </c>
      <c r="E105" s="398" t="s">
        <v>384</v>
      </c>
      <c r="F105" s="215" t="s">
        <v>123</v>
      </c>
      <c r="G105" s="408">
        <f>12*(265+20) /'Average wages'!$B$25</f>
        <v>5.8924970041768387E-2</v>
      </c>
      <c r="H105" s="398" t="s">
        <v>377</v>
      </c>
      <c r="I105" s="119">
        <v>0</v>
      </c>
      <c r="J105" s="533" t="s">
        <v>95</v>
      </c>
      <c r="K105" s="122" t="s">
        <v>95</v>
      </c>
      <c r="L105" s="112" t="s">
        <v>104</v>
      </c>
    </row>
    <row r="106" spans="1:12" ht="22.8" x14ac:dyDescent="0.25">
      <c r="A106" s="124" t="s">
        <v>362</v>
      </c>
      <c r="B106" s="222" t="s">
        <v>71</v>
      </c>
      <c r="C106" s="210" t="s">
        <v>433</v>
      </c>
      <c r="D106" s="210" t="s">
        <v>380</v>
      </c>
      <c r="E106" s="399" t="s">
        <v>384</v>
      </c>
      <c r="F106" s="216" t="s">
        <v>123</v>
      </c>
      <c r="G106" s="409">
        <f>115 /'Average wages'!$B$25</f>
        <v>1.9813951914629722E-3</v>
      </c>
      <c r="H106" s="399" t="s">
        <v>377</v>
      </c>
      <c r="I106" s="127">
        <v>0</v>
      </c>
      <c r="J106" s="535" t="s">
        <v>95</v>
      </c>
      <c r="K106" s="120" t="s">
        <v>95</v>
      </c>
      <c r="L106" s="330" t="s">
        <v>104</v>
      </c>
    </row>
    <row r="107" spans="1:12" ht="22.8" x14ac:dyDescent="0.25">
      <c r="A107" s="124" t="s">
        <v>359</v>
      </c>
      <c r="B107" s="222" t="s">
        <v>71</v>
      </c>
      <c r="C107" s="210" t="s">
        <v>680</v>
      </c>
      <c r="D107" s="210" t="s">
        <v>394</v>
      </c>
      <c r="E107" s="399" t="s">
        <v>384</v>
      </c>
      <c r="F107" s="216" t="s">
        <v>416</v>
      </c>
      <c r="G107" s="409">
        <f>600 /'Average wages'!$B$25</f>
        <v>1.0337714042415506E-2</v>
      </c>
      <c r="H107" s="399" t="s">
        <v>377</v>
      </c>
      <c r="I107" s="127" t="s">
        <v>398</v>
      </c>
      <c r="J107" s="535" t="s">
        <v>95</v>
      </c>
      <c r="K107" s="120" t="s">
        <v>95</v>
      </c>
      <c r="L107" s="330" t="s">
        <v>104</v>
      </c>
    </row>
    <row r="108" spans="1:12" ht="22.8" x14ac:dyDescent="0.25">
      <c r="A108" s="124" t="s">
        <v>360</v>
      </c>
      <c r="B108" s="222" t="s">
        <v>71</v>
      </c>
      <c r="C108" s="210" t="s">
        <v>422</v>
      </c>
      <c r="D108" s="210" t="s">
        <v>434</v>
      </c>
      <c r="E108" s="399" t="s">
        <v>384</v>
      </c>
      <c r="F108" s="216" t="s">
        <v>416</v>
      </c>
      <c r="G108" s="409" t="s">
        <v>95</v>
      </c>
      <c r="H108" s="399">
        <v>0</v>
      </c>
      <c r="I108" s="121" t="s">
        <v>136</v>
      </c>
      <c r="J108" s="535" t="s">
        <v>95</v>
      </c>
      <c r="K108" s="120" t="s">
        <v>95</v>
      </c>
      <c r="L108" s="330" t="s">
        <v>104</v>
      </c>
    </row>
    <row r="109" spans="1:12" ht="22.8" x14ac:dyDescent="0.25">
      <c r="A109" s="124" t="s">
        <v>362</v>
      </c>
      <c r="B109" s="221" t="s">
        <v>72</v>
      </c>
      <c r="C109" s="366" t="s">
        <v>832</v>
      </c>
      <c r="D109" s="209" t="s">
        <v>380</v>
      </c>
      <c r="E109" s="398">
        <v>17</v>
      </c>
      <c r="F109" s="215" t="s">
        <v>123</v>
      </c>
      <c r="G109" s="408">
        <f>267.1*4/'Average wages'!B26</f>
        <v>1.9481110032059105E-2</v>
      </c>
      <c r="H109" s="398" t="s">
        <v>377</v>
      </c>
      <c r="I109" s="119">
        <v>0</v>
      </c>
      <c r="J109" s="533" t="s">
        <v>95</v>
      </c>
      <c r="K109" s="122" t="s">
        <v>95</v>
      </c>
      <c r="L109" s="112" t="s">
        <v>95</v>
      </c>
    </row>
    <row r="110" spans="1:12" ht="22.8" x14ac:dyDescent="0.25">
      <c r="A110" s="124" t="s">
        <v>363</v>
      </c>
      <c r="B110" s="222" t="s">
        <v>72</v>
      </c>
      <c r="C110" s="210" t="s">
        <v>833</v>
      </c>
      <c r="D110" s="210" t="s">
        <v>376</v>
      </c>
      <c r="E110" s="399">
        <v>17</v>
      </c>
      <c r="F110" s="216" t="s">
        <v>850</v>
      </c>
      <c r="G110" s="409">
        <f>98.75*12/'Average wages'!B26</f>
        <v>2.1607184002237025E-2</v>
      </c>
      <c r="H110" s="399">
        <v>0</v>
      </c>
      <c r="I110" s="121" t="s">
        <v>398</v>
      </c>
      <c r="J110" s="320" t="str">
        <f>"EUR 21,431 ("&amp;TEXT(100*21431/'Average wages'!B26,0)&amp;"% of AW)"</f>
        <v>EUR 21,431 (39% of AW)</v>
      </c>
      <c r="K110" s="367">
        <v>6.7500000000000004E-2</v>
      </c>
      <c r="L110" s="330" t="s">
        <v>248</v>
      </c>
    </row>
    <row r="111" spans="1:12" ht="45.6" x14ac:dyDescent="0.25">
      <c r="A111" s="124" t="s">
        <v>363</v>
      </c>
      <c r="B111" s="222" t="s">
        <v>72</v>
      </c>
      <c r="C111" s="210" t="s">
        <v>834</v>
      </c>
      <c r="D111" s="210" t="s">
        <v>376</v>
      </c>
      <c r="E111" s="399" t="s">
        <v>705</v>
      </c>
      <c r="F111" s="216" t="s">
        <v>850</v>
      </c>
      <c r="G111" s="409">
        <f>25.25*12/'Average wages'!B26</f>
        <v>5.5248748967745304E-3</v>
      </c>
      <c r="H111" s="399">
        <v>0</v>
      </c>
      <c r="I111" s="121" t="s">
        <v>398</v>
      </c>
      <c r="J111" s="320" t="str">
        <f>J110</f>
        <v>EUR 21,431 (39% of AW)</v>
      </c>
      <c r="K111" s="367">
        <v>6.7500000000000004E-2</v>
      </c>
      <c r="L111" s="330" t="s">
        <v>248</v>
      </c>
    </row>
    <row r="112" spans="1:12" ht="34.200000000000003" x14ac:dyDescent="0.25">
      <c r="A112" s="124" t="s">
        <v>363</v>
      </c>
      <c r="B112" s="222" t="s">
        <v>72</v>
      </c>
      <c r="C112" s="210" t="s">
        <v>835</v>
      </c>
      <c r="D112" s="210" t="s">
        <v>376</v>
      </c>
      <c r="E112" s="399">
        <v>17</v>
      </c>
      <c r="F112" s="216" t="s">
        <v>851</v>
      </c>
      <c r="G112" s="409">
        <f>3190/'Average wages'!B26</f>
        <v>5.8166174655811066E-2</v>
      </c>
      <c r="H112" s="399">
        <v>0</v>
      </c>
      <c r="I112" s="121" t="s">
        <v>398</v>
      </c>
      <c r="J112" s="320" t="str">
        <f>J110</f>
        <v>EUR 21,431 (39% of AW)</v>
      </c>
      <c r="K112" s="367">
        <v>6.7500000000000004E-2</v>
      </c>
      <c r="L112" s="330" t="s">
        <v>248</v>
      </c>
    </row>
    <row r="113" spans="1:12" ht="22.8" x14ac:dyDescent="0.25">
      <c r="A113" s="124" t="s">
        <v>359</v>
      </c>
      <c r="B113" s="222" t="s">
        <v>72</v>
      </c>
      <c r="C113" s="210" t="s">
        <v>707</v>
      </c>
      <c r="D113" s="338" t="s">
        <v>394</v>
      </c>
      <c r="E113" s="389">
        <v>11</v>
      </c>
      <c r="F113" s="368" t="str">
        <f>"Employed with taxable income above EUR 5072  ("&amp;TEXT(100*5072/'Average wages'!B26,0)&amp;"% of AW)"</f>
        <v>Employed with taxable income above EUR 5072  (9% of AW)</v>
      </c>
      <c r="G113" s="416">
        <f>2881/'Average wages'!B26</f>
        <v>5.2531896295734064E-2</v>
      </c>
      <c r="H113" s="389">
        <v>0</v>
      </c>
      <c r="I113" s="333" t="s">
        <v>136</v>
      </c>
      <c r="J113" s="320" t="s">
        <v>95</v>
      </c>
      <c r="K113" s="321" t="s">
        <v>95</v>
      </c>
      <c r="L113" s="330" t="s">
        <v>95</v>
      </c>
    </row>
    <row r="114" spans="1:12" x14ac:dyDescent="0.25">
      <c r="A114" s="124" t="s">
        <v>361</v>
      </c>
      <c r="B114" s="224" t="s">
        <v>187</v>
      </c>
      <c r="C114" s="577" t="s">
        <v>1447</v>
      </c>
      <c r="D114" s="209"/>
      <c r="E114" s="398"/>
      <c r="F114" s="215"/>
      <c r="G114" s="408"/>
      <c r="H114" s="398"/>
      <c r="I114" s="194"/>
      <c r="J114" s="533"/>
      <c r="K114" s="568"/>
      <c r="L114" s="112"/>
    </row>
    <row r="115" spans="1:12" x14ac:dyDescent="0.25">
      <c r="A115" s="124" t="s">
        <v>362</v>
      </c>
      <c r="B115" s="225" t="s">
        <v>187</v>
      </c>
      <c r="C115" s="566" t="s">
        <v>1447</v>
      </c>
      <c r="D115" s="210"/>
      <c r="E115" s="399"/>
      <c r="F115" s="216"/>
      <c r="G115" s="409"/>
      <c r="H115" s="399"/>
      <c r="I115" s="121"/>
      <c r="J115" s="535"/>
      <c r="K115" s="120"/>
      <c r="L115" s="330"/>
    </row>
    <row r="116" spans="1:12" x14ac:dyDescent="0.25">
      <c r="A116" s="124" t="s">
        <v>359</v>
      </c>
      <c r="B116" s="225" t="s">
        <v>187</v>
      </c>
      <c r="C116" s="566" t="s">
        <v>1447</v>
      </c>
      <c r="D116" s="210"/>
      <c r="E116" s="399"/>
      <c r="F116" s="216"/>
      <c r="G116" s="409"/>
      <c r="H116" s="399"/>
      <c r="I116" s="121"/>
      <c r="J116" s="535"/>
      <c r="K116" s="569"/>
      <c r="L116" s="330"/>
    </row>
    <row r="117" spans="1:12" x14ac:dyDescent="0.25">
      <c r="A117" s="124" t="s">
        <v>362</v>
      </c>
      <c r="B117" s="225" t="s">
        <v>187</v>
      </c>
      <c r="C117" s="566" t="s">
        <v>1447</v>
      </c>
      <c r="D117" s="210"/>
      <c r="E117" s="399"/>
      <c r="F117" s="216"/>
      <c r="G117" s="409"/>
      <c r="H117" s="399"/>
      <c r="I117" s="127"/>
      <c r="J117" s="535"/>
      <c r="K117" s="120"/>
      <c r="L117" s="330"/>
    </row>
    <row r="118" spans="1:12" x14ac:dyDescent="0.25">
      <c r="A118" s="124" t="s">
        <v>363</v>
      </c>
      <c r="B118" s="221" t="s">
        <v>73</v>
      </c>
      <c r="C118" s="209" t="s">
        <v>713</v>
      </c>
      <c r="D118" s="209" t="s">
        <v>380</v>
      </c>
      <c r="E118" s="398">
        <v>17</v>
      </c>
      <c r="F118" s="215" t="s">
        <v>123</v>
      </c>
      <c r="G118" s="408">
        <f>12648/'Average wages'!B28</f>
        <v>2.0160364506664905E-2</v>
      </c>
      <c r="H118" s="398">
        <v>0</v>
      </c>
      <c r="I118" s="119">
        <v>0</v>
      </c>
      <c r="J118" s="533" t="s">
        <v>95</v>
      </c>
      <c r="K118" s="122" t="s">
        <v>95</v>
      </c>
      <c r="L118" s="112" t="s">
        <v>104</v>
      </c>
    </row>
    <row r="119" spans="1:12" ht="34.200000000000003" x14ac:dyDescent="0.25">
      <c r="A119" s="124" t="s">
        <v>367</v>
      </c>
      <c r="B119" s="79" t="s">
        <v>73</v>
      </c>
      <c r="C119" s="210" t="s">
        <v>716</v>
      </c>
      <c r="D119" s="210" t="s">
        <v>380</v>
      </c>
      <c r="E119" s="399">
        <v>17</v>
      </c>
      <c r="F119" s="216" t="s">
        <v>416</v>
      </c>
      <c r="G119" s="409" t="str">
        <f>CONCATENATE(LEFT(100*(12648)/'Average wages'!B28,3),"% on the top of the child benefit (barnetrygd)")</f>
        <v>2.0% on the top of the child benefit (barnetrygd)</v>
      </c>
      <c r="H119" s="399">
        <v>0</v>
      </c>
      <c r="I119" s="121" t="s">
        <v>136</v>
      </c>
      <c r="J119" s="535" t="s">
        <v>95</v>
      </c>
      <c r="K119" s="120" t="s">
        <v>95</v>
      </c>
      <c r="L119" s="330" t="s">
        <v>104</v>
      </c>
    </row>
    <row r="120" spans="1:12" ht="45.6" x14ac:dyDescent="0.25">
      <c r="A120" s="124" t="s">
        <v>368</v>
      </c>
      <c r="B120" s="79" t="s">
        <v>73</v>
      </c>
      <c r="C120" s="210" t="s">
        <v>715</v>
      </c>
      <c r="D120" s="210" t="s">
        <v>376</v>
      </c>
      <c r="E120" s="399">
        <v>2</v>
      </c>
      <c r="F120" s="216" t="s">
        <v>714</v>
      </c>
      <c r="G120" s="409" t="str">
        <f>CONCATENATE(LEFT(100*(7920)/'Average wages'!B28,3),"% on the top of the child benefit (barnetrygd) for lone parents")</f>
        <v>1.2% on the top of the child benefit (barnetrygd) for lone parents</v>
      </c>
      <c r="H120" s="399">
        <v>0</v>
      </c>
      <c r="I120" s="121" t="s">
        <v>136</v>
      </c>
      <c r="J120" s="535" t="str">
        <f>"NOK 49,929 ("&amp;TEXT(100*49929/'Average wages'!B28,0)&amp;"% of AW; the threshold for Transitional benefit for lone parents)"</f>
        <v>NOK 49,929 (8% of AW; the threshold for Transitional benefit for lone parents)</v>
      </c>
      <c r="K120" s="120" t="s">
        <v>862</v>
      </c>
      <c r="L120" s="330" t="s">
        <v>104</v>
      </c>
    </row>
    <row r="121" spans="1:12" ht="22.8" x14ac:dyDescent="0.25">
      <c r="A121" s="555" t="s">
        <v>370</v>
      </c>
      <c r="B121" s="79" t="s">
        <v>73</v>
      </c>
      <c r="C121" s="210" t="s">
        <v>717</v>
      </c>
      <c r="D121" s="210" t="s">
        <v>376</v>
      </c>
      <c r="E121" s="399">
        <v>7</v>
      </c>
      <c r="F121" s="216" t="s">
        <v>1115</v>
      </c>
      <c r="G121" s="418">
        <f>224681/'Average wages'!B28</f>
        <v>0.35813178824493813</v>
      </c>
      <c r="H121" s="399">
        <v>0</v>
      </c>
      <c r="I121" s="121" t="s">
        <v>136</v>
      </c>
      <c r="J121" s="535" t="str">
        <f>"NOK 49,929 ("&amp;TEXT(100*49929/'Average wages'!B28,0)&amp;"% of AW)"</f>
        <v>NOK 49,929 (8% of AW)</v>
      </c>
      <c r="K121" s="120">
        <v>0.45</v>
      </c>
      <c r="L121" s="330" t="s">
        <v>104</v>
      </c>
    </row>
    <row r="122" spans="1:12" ht="34.200000000000003" x14ac:dyDescent="0.25">
      <c r="A122" s="317" t="s">
        <v>359</v>
      </c>
      <c r="B122" s="79" t="s">
        <v>73</v>
      </c>
      <c r="C122" s="210" t="s">
        <v>718</v>
      </c>
      <c r="D122" s="210" t="s">
        <v>376</v>
      </c>
      <c r="E122" s="399">
        <v>17</v>
      </c>
      <c r="F122" s="216" t="s">
        <v>852</v>
      </c>
      <c r="G122" s="409">
        <f>1640*12/'Average wages'!B28</f>
        <v>3.1369068112837233E-2</v>
      </c>
      <c r="H122" s="399">
        <v>0</v>
      </c>
      <c r="I122" s="127">
        <v>0</v>
      </c>
      <c r="J122" s="535" t="str">
        <f>"NOK 277,600 ("&amp;TEXT(100*277600/'Average wages'!B28,0)&amp;"% of AW)"</f>
        <v>NOK 277,600 (44% of AW)</v>
      </c>
      <c r="K122" s="120" t="str">
        <f>"Withdrawn in three steps, fully withdrawn at NOK 524,800 ("&amp;TEXT(100*524800/'Average wages'!B28,0)&amp;"% of AW)"</f>
        <v>Withdrawn in three steps, fully withdrawn at NOK 524,800 (84% of AW)</v>
      </c>
      <c r="L122" s="330" t="s">
        <v>104</v>
      </c>
    </row>
    <row r="123" spans="1:12" ht="22.8" x14ac:dyDescent="0.25">
      <c r="A123" s="317" t="s">
        <v>359</v>
      </c>
      <c r="B123" s="79" t="s">
        <v>73</v>
      </c>
      <c r="C123" s="210" t="s">
        <v>719</v>
      </c>
      <c r="D123" s="210" t="s">
        <v>376</v>
      </c>
      <c r="E123" s="399" t="s">
        <v>720</v>
      </c>
      <c r="F123" s="216" t="s">
        <v>1116</v>
      </c>
      <c r="G123" s="409">
        <f>7500*12/'Average wages'!B28</f>
        <v>0.14345610417456053</v>
      </c>
      <c r="H123" s="399">
        <v>0</v>
      </c>
      <c r="I123" s="127">
        <v>0</v>
      </c>
      <c r="J123" s="535" t="s">
        <v>95</v>
      </c>
      <c r="K123" s="120" t="s">
        <v>95</v>
      </c>
      <c r="L123" s="330" t="s">
        <v>104</v>
      </c>
    </row>
    <row r="124" spans="1:12" ht="22.8" x14ac:dyDescent="0.25">
      <c r="A124" s="317" t="s">
        <v>360</v>
      </c>
      <c r="B124" s="79" t="s">
        <v>73</v>
      </c>
      <c r="C124" s="210" t="s">
        <v>721</v>
      </c>
      <c r="D124" s="210" t="s">
        <v>432</v>
      </c>
      <c r="E124" s="399" t="s">
        <v>104</v>
      </c>
      <c r="F124" s="216" t="s">
        <v>416</v>
      </c>
      <c r="G124" s="418">
        <f>51804/'Average wages'!B28</f>
        <v>8.2573333562877035E-2</v>
      </c>
      <c r="H124" s="399">
        <v>0</v>
      </c>
      <c r="I124" s="121" t="s">
        <v>136</v>
      </c>
      <c r="J124" s="535" t="s">
        <v>95</v>
      </c>
      <c r="K124" s="120" t="s">
        <v>95</v>
      </c>
      <c r="L124" s="330" t="s">
        <v>104</v>
      </c>
    </row>
    <row r="125" spans="1:12" ht="22.8" x14ac:dyDescent="0.25">
      <c r="A125" s="317"/>
      <c r="B125" s="222" t="s">
        <v>73</v>
      </c>
      <c r="C125" s="210" t="s">
        <v>1117</v>
      </c>
      <c r="D125" s="210" t="s">
        <v>432</v>
      </c>
      <c r="E125" s="399">
        <v>11</v>
      </c>
      <c r="F125" s="216" t="s">
        <v>123</v>
      </c>
      <c r="G125" s="418">
        <f>25000/'Average wages'!B28</f>
        <v>3.984891782626681E-2</v>
      </c>
      <c r="H125" s="399">
        <v>0</v>
      </c>
      <c r="I125" s="121" t="s">
        <v>1118</v>
      </c>
      <c r="J125" s="535" t="s">
        <v>95</v>
      </c>
      <c r="K125" s="120" t="s">
        <v>95</v>
      </c>
      <c r="L125" s="330" t="s">
        <v>104</v>
      </c>
    </row>
    <row r="126" spans="1:12" s="251" customFormat="1" ht="22.8" x14ac:dyDescent="0.25">
      <c r="A126" s="317" t="s">
        <v>361</v>
      </c>
      <c r="B126" s="369" t="s">
        <v>244</v>
      </c>
      <c r="C126" s="336" t="s">
        <v>1350</v>
      </c>
      <c r="D126" s="336" t="s">
        <v>376</v>
      </c>
      <c r="E126" s="405" t="s">
        <v>428</v>
      </c>
      <c r="F126" s="286" t="s">
        <v>123</v>
      </c>
      <c r="G126" s="415">
        <f>124*12/'Average wages'!B29</f>
        <v>2.4427596164423658E-2</v>
      </c>
      <c r="H126" s="405" t="s">
        <v>377</v>
      </c>
      <c r="I126" s="378" t="s">
        <v>659</v>
      </c>
      <c r="J126" s="318" t="str">
        <f>"PLN 8,088 of net income ("&amp;TEXT(8088/'Average wages'!B29,"0%")&amp;" of AW) per family member"</f>
        <v>PLN 8,088 of net income (13% of AW) per family member</v>
      </c>
      <c r="K126" s="319">
        <v>1</v>
      </c>
      <c r="L126" s="436" t="s">
        <v>104</v>
      </c>
    </row>
    <row r="127" spans="1:12" s="22" customFormat="1" ht="22.8" x14ac:dyDescent="0.25">
      <c r="A127" s="124" t="s">
        <v>359</v>
      </c>
      <c r="B127" s="370" t="s">
        <v>244</v>
      </c>
      <c r="C127" s="327" t="s">
        <v>479</v>
      </c>
      <c r="D127" s="327" t="s">
        <v>376</v>
      </c>
      <c r="E127" s="389" t="s">
        <v>428</v>
      </c>
      <c r="F127" s="244" t="s">
        <v>416</v>
      </c>
      <c r="G127" s="416">
        <f>193*12/'Average wages'!B29</f>
        <v>3.8020371449465851E-2</v>
      </c>
      <c r="H127" s="389">
        <v>0</v>
      </c>
      <c r="I127" s="423" t="s">
        <v>1351</v>
      </c>
      <c r="J127" s="320" t="str">
        <f>"PLN 8,088 of net income ("&amp;TEXT(8088/'Average wages'!B29,"0%")&amp;" of AW) per family member"</f>
        <v>PLN 8,088 of net income (13% of AW) per family member</v>
      </c>
      <c r="K127" s="321">
        <v>1</v>
      </c>
      <c r="L127" s="437" t="s">
        <v>104</v>
      </c>
    </row>
    <row r="128" spans="1:12" s="22" customFormat="1" ht="22.8" x14ac:dyDescent="0.25">
      <c r="A128" s="124"/>
      <c r="B128" s="370" t="s">
        <v>244</v>
      </c>
      <c r="C128" s="327" t="s">
        <v>1352</v>
      </c>
      <c r="D128" s="327" t="s">
        <v>376</v>
      </c>
      <c r="E128" s="389" t="s">
        <v>428</v>
      </c>
      <c r="F128" s="244" t="s">
        <v>1353</v>
      </c>
      <c r="G128" s="416">
        <f>95*12/'Average wages'!B29</f>
        <v>1.8714690609840705E-2</v>
      </c>
      <c r="H128" s="389">
        <v>0</v>
      </c>
      <c r="I128" s="423">
        <v>0</v>
      </c>
      <c r="J128" s="320" t="str">
        <f>"PLN 8,088 of net income ("&amp;TEXT(8088/'Average wages'!B29,"0%")&amp;" of AW) per family member"</f>
        <v>PLN 8,088 of net income (13% of AW) per family member</v>
      </c>
      <c r="K128" s="321">
        <v>1</v>
      </c>
      <c r="L128" s="437" t="s">
        <v>104</v>
      </c>
    </row>
    <row r="129" spans="1:12" s="22" customFormat="1" ht="22.8" x14ac:dyDescent="0.25">
      <c r="A129" s="124"/>
      <c r="B129" s="370" t="s">
        <v>244</v>
      </c>
      <c r="C129" s="327" t="s">
        <v>1354</v>
      </c>
      <c r="D129" s="327" t="s">
        <v>376</v>
      </c>
      <c r="E129" s="389" t="s">
        <v>428</v>
      </c>
      <c r="F129" s="244" t="s">
        <v>1355</v>
      </c>
      <c r="G129" s="416">
        <f>100/'Average wages'!B29</f>
        <v>1.6416395271790093E-3</v>
      </c>
      <c r="H129" s="389">
        <v>0</v>
      </c>
      <c r="I129" s="423">
        <v>0</v>
      </c>
      <c r="J129" s="320" t="str">
        <f>"PLN 8,088 of net income ("&amp;TEXT(8088/'Average wages'!B29,"0%")&amp;" of AW) per family member"</f>
        <v>PLN 8,088 of net income (13% of AW) per family member</v>
      </c>
      <c r="K129" s="321">
        <v>1</v>
      </c>
      <c r="L129" s="437"/>
    </row>
    <row r="130" spans="1:12" s="22" customFormat="1" ht="22.8" x14ac:dyDescent="0.25">
      <c r="A130" s="124"/>
      <c r="B130" s="370" t="s">
        <v>244</v>
      </c>
      <c r="C130" s="327" t="s">
        <v>1356</v>
      </c>
      <c r="D130" s="327" t="s">
        <v>376</v>
      </c>
      <c r="E130" s="389">
        <v>2</v>
      </c>
      <c r="F130" s="244" t="s">
        <v>123</v>
      </c>
      <c r="G130" s="416">
        <f>400*12/'Average wages'!B29</f>
        <v>7.8798697304592435E-2</v>
      </c>
      <c r="H130" s="389">
        <v>0</v>
      </c>
      <c r="I130" s="423">
        <v>0</v>
      </c>
      <c r="J130" s="320" t="str">
        <f>"PLN 8,088 of net income ("&amp;TEXT(8088/'Average wages'!B29,"0%")&amp;" of AW) per family member"</f>
        <v>PLN 8,088 of net income (13% of AW) per family member</v>
      </c>
      <c r="K130" s="321">
        <v>1</v>
      </c>
      <c r="L130" s="437"/>
    </row>
    <row r="131" spans="1:12" s="22" customFormat="1" ht="22.8" x14ac:dyDescent="0.25">
      <c r="A131" s="124"/>
      <c r="B131" s="370" t="s">
        <v>244</v>
      </c>
      <c r="C131" s="327" t="s">
        <v>1357</v>
      </c>
      <c r="D131" s="327" t="s">
        <v>380</v>
      </c>
      <c r="E131" s="389">
        <v>17</v>
      </c>
      <c r="F131" s="244" t="s">
        <v>123</v>
      </c>
      <c r="G131" s="416">
        <f>500*12/'Average wages'!B29</f>
        <v>9.8498371630740558E-2</v>
      </c>
      <c r="H131" s="389">
        <v>0</v>
      </c>
      <c r="I131" s="423">
        <v>0</v>
      </c>
      <c r="J131" s="320" t="s">
        <v>95</v>
      </c>
      <c r="K131" s="321" t="s">
        <v>459</v>
      </c>
      <c r="L131" s="437" t="s">
        <v>95</v>
      </c>
    </row>
    <row r="132" spans="1:12" s="22" customFormat="1" x14ac:dyDescent="0.25">
      <c r="A132" s="124"/>
      <c r="B132" s="370" t="s">
        <v>244</v>
      </c>
      <c r="C132" s="327" t="s">
        <v>1358</v>
      </c>
      <c r="D132" s="327" t="s">
        <v>380</v>
      </c>
      <c r="E132" s="389">
        <v>20</v>
      </c>
      <c r="F132" s="244" t="s">
        <v>1355</v>
      </c>
      <c r="G132" s="416">
        <f>300/'Average wages'!B29</f>
        <v>4.9249185815370272E-3</v>
      </c>
      <c r="H132" s="389">
        <v>0</v>
      </c>
      <c r="I132" s="423">
        <v>0</v>
      </c>
      <c r="J132" s="320" t="s">
        <v>95</v>
      </c>
      <c r="K132" s="321" t="s">
        <v>459</v>
      </c>
      <c r="L132" s="437" t="s">
        <v>95</v>
      </c>
    </row>
    <row r="133" spans="1:12" s="237" customFormat="1" ht="45.6" x14ac:dyDescent="0.25">
      <c r="A133" s="124" t="s">
        <v>360</v>
      </c>
      <c r="B133" s="371" t="s">
        <v>244</v>
      </c>
      <c r="C133" s="327" t="s">
        <v>1359</v>
      </c>
      <c r="D133" s="327" t="s">
        <v>376</v>
      </c>
      <c r="E133" s="389" t="s">
        <v>104</v>
      </c>
      <c r="F133" s="244" t="s">
        <v>498</v>
      </c>
      <c r="G133" s="417">
        <f>1112.04/'Average wages'!B29</f>
        <v>1.8255688198041454E-2</v>
      </c>
      <c r="H133" s="389">
        <v>0</v>
      </c>
      <c r="I133" s="423" t="s">
        <v>1360</v>
      </c>
      <c r="J133" s="320" t="str">
        <f>"For one child taxable income below PLN 112,000 ("&amp;TEXT(112000/'Average wages'!B36,"0%")&amp;" of AW); no income limit for more children"</f>
        <v>For one child taxable income below PLN 112,000 (150% of AW); no income limit for more children</v>
      </c>
      <c r="K133" s="321" t="s">
        <v>1361</v>
      </c>
      <c r="L133" s="437" t="s">
        <v>123</v>
      </c>
    </row>
    <row r="134" spans="1:12" ht="57" x14ac:dyDescent="0.25">
      <c r="A134" s="124" t="s">
        <v>361</v>
      </c>
      <c r="B134" s="325" t="s">
        <v>74</v>
      </c>
      <c r="C134" s="69" t="s">
        <v>435</v>
      </c>
      <c r="D134" s="69" t="s">
        <v>376</v>
      </c>
      <c r="E134" s="398" t="s">
        <v>445</v>
      </c>
      <c r="F134" s="73" t="s">
        <v>123</v>
      </c>
      <c r="G134" s="408">
        <f>49.95*12/'Average wages'!B30</f>
        <v>3.0773563664098974E-2</v>
      </c>
      <c r="H134" s="398" t="s">
        <v>398</v>
      </c>
      <c r="I134" s="194" t="s">
        <v>1190</v>
      </c>
      <c r="J134" s="533" t="s">
        <v>1191</v>
      </c>
      <c r="K134" s="122" t="str">
        <f>"Withdrawn in steps (according to income brackets). For a couple household with 2 children the benefit is completely withdrawn at gross earnings of approx. EUR 46 000 ("&amp;TEXT(46000/'Average wages'!B30,0)&amp;"% of AW) "</f>
        <v xml:space="preserve">Withdrawn in steps (according to income brackets). For a couple household with 2 children the benefit is completely withdrawn at gross earnings of approx. EUR 46 000 (2% of AW) </v>
      </c>
      <c r="L134" s="112" t="s">
        <v>248</v>
      </c>
    </row>
    <row r="135" spans="1:12" ht="34.200000000000003" x14ac:dyDescent="0.25">
      <c r="A135" s="124" t="s">
        <v>360</v>
      </c>
      <c r="B135" s="130" t="s">
        <v>74</v>
      </c>
      <c r="C135" s="326" t="s">
        <v>593</v>
      </c>
      <c r="D135" s="326" t="s">
        <v>376</v>
      </c>
      <c r="E135" s="399" t="s">
        <v>594</v>
      </c>
      <c r="F135" s="191" t="s">
        <v>123</v>
      </c>
      <c r="G135" s="409">
        <f>37.46/'Average wages'!B30</f>
        <v>1.9232193774727183E-3</v>
      </c>
      <c r="H135" s="399">
        <v>0</v>
      </c>
      <c r="I135" s="127">
        <v>0</v>
      </c>
      <c r="J135" s="535" t="str">
        <f>J134</f>
        <v>No (the benefit is tested against all households income, including gross earnings and other benefits)</v>
      </c>
      <c r="K135" s="120" t="s">
        <v>1192</v>
      </c>
      <c r="L135" s="330" t="s">
        <v>248</v>
      </c>
    </row>
    <row r="136" spans="1:12" ht="57" x14ac:dyDescent="0.25">
      <c r="A136" s="124" t="s">
        <v>362</v>
      </c>
      <c r="B136" s="130" t="s">
        <v>74</v>
      </c>
      <c r="C136" s="326" t="s">
        <v>436</v>
      </c>
      <c r="D136" s="326" t="s">
        <v>376</v>
      </c>
      <c r="E136" s="399" t="s">
        <v>445</v>
      </c>
      <c r="F136" s="191" t="s">
        <v>416</v>
      </c>
      <c r="G136" s="410">
        <f>49.95*12*0.35/'Average wages'!B30</f>
        <v>1.0770747282434641E-2</v>
      </c>
      <c r="H136" s="399" t="s">
        <v>398</v>
      </c>
      <c r="I136" s="127">
        <v>0</v>
      </c>
      <c r="J136" s="535" t="str">
        <f>J134</f>
        <v>No (the benefit is tested against all households income, including gross earnings and other benefits)</v>
      </c>
      <c r="K136" s="120" t="str">
        <f>"Withdrawn in steps (according to income brackets). For a lone parent with 2 children the benefit is completely withdrawn at gross earnings of approx. EUR 46 000 ("&amp;TEXT(46000/'Average wages'!B30,0)&amp;"% of AW) "</f>
        <v xml:space="preserve">Withdrawn in steps (according to income brackets). For a lone parent with 2 children the benefit is completely withdrawn at gross earnings of approx. EUR 46 000 (2% of AW) </v>
      </c>
      <c r="L136" s="330" t="s">
        <v>248</v>
      </c>
    </row>
    <row r="137" spans="1:12" ht="22.8" x14ac:dyDescent="0.25">
      <c r="A137" s="124"/>
      <c r="B137" s="255" t="s">
        <v>74</v>
      </c>
      <c r="C137" s="328" t="s">
        <v>429</v>
      </c>
      <c r="D137" s="328" t="s">
        <v>1193</v>
      </c>
      <c r="E137" s="400" t="s">
        <v>381</v>
      </c>
      <c r="F137" s="232" t="s">
        <v>1194</v>
      </c>
      <c r="G137" s="419">
        <f>600/'Average wages'!B30</f>
        <v>3.0804368032131099E-2</v>
      </c>
      <c r="H137" s="400" t="s">
        <v>398</v>
      </c>
      <c r="I137" s="129" t="str">
        <f>"+ for additonal children under three years old"</f>
        <v>+ for additonal children under three years old</v>
      </c>
      <c r="J137" s="523" t="s">
        <v>95</v>
      </c>
      <c r="K137" s="524" t="s">
        <v>95</v>
      </c>
      <c r="L137" s="332" t="s">
        <v>95</v>
      </c>
    </row>
    <row r="138" spans="1:12" s="373" customFormat="1" x14ac:dyDescent="0.25">
      <c r="A138" s="372" t="s">
        <v>359</v>
      </c>
      <c r="B138" s="221" t="s">
        <v>75</v>
      </c>
      <c r="C138" s="341" t="s">
        <v>437</v>
      </c>
      <c r="D138" s="341" t="s">
        <v>380</v>
      </c>
      <c r="E138" s="402" t="s">
        <v>1119</v>
      </c>
      <c r="F138" s="342" t="s">
        <v>123</v>
      </c>
      <c r="G138" s="412">
        <f>24.95*12/'Average wages'!B31</f>
        <v>2.268129106591164E-2</v>
      </c>
      <c r="H138" s="402">
        <v>0</v>
      </c>
      <c r="I138" s="343">
        <v>0</v>
      </c>
      <c r="J138" s="344" t="s">
        <v>95</v>
      </c>
      <c r="K138" s="345" t="s">
        <v>95</v>
      </c>
      <c r="L138" s="439" t="s">
        <v>104</v>
      </c>
    </row>
    <row r="139" spans="1:12" s="373" customFormat="1" ht="34.200000000000003" x14ac:dyDescent="0.25">
      <c r="A139" s="372" t="s">
        <v>360</v>
      </c>
      <c r="B139" s="79" t="s">
        <v>75</v>
      </c>
      <c r="C139" s="348" t="s">
        <v>429</v>
      </c>
      <c r="D139" s="348" t="s">
        <v>438</v>
      </c>
      <c r="E139" s="403" t="s">
        <v>104</v>
      </c>
      <c r="F139" s="347" t="str">
        <f>"Earnings of at least 6 times the MW ("&amp;TEXT(100*580*6/'Average wages'!B31,0)&amp;"% of AW)"</f>
        <v>Earnings of at least 6 times the MW (26% of AW)</v>
      </c>
      <c r="G139" s="413">
        <f>545.28/'Average wages'!B31</f>
        <v>4.1308130903207417E-2</v>
      </c>
      <c r="H139" s="424" t="s">
        <v>1120</v>
      </c>
      <c r="I139" s="357">
        <v>0</v>
      </c>
      <c r="J139" s="355" t="s">
        <v>95</v>
      </c>
      <c r="K139" s="351" t="s">
        <v>95</v>
      </c>
      <c r="L139" s="434" t="s">
        <v>104</v>
      </c>
    </row>
    <row r="140" spans="1:12" s="373" customFormat="1" ht="22.8" x14ac:dyDescent="0.25">
      <c r="A140" s="372" t="s">
        <v>361</v>
      </c>
      <c r="B140" s="222" t="s">
        <v>75</v>
      </c>
      <c r="C140" s="359" t="s">
        <v>1121</v>
      </c>
      <c r="D140" s="359" t="s">
        <v>376</v>
      </c>
      <c r="E140" s="404" t="s">
        <v>1119</v>
      </c>
      <c r="F140" s="360" t="s">
        <v>853</v>
      </c>
      <c r="G140" s="414">
        <f>355.05*12/'Average wages'!B31</f>
        <v>0.32276522617041803</v>
      </c>
      <c r="H140" s="404">
        <v>0</v>
      </c>
      <c r="I140" s="361">
        <v>0</v>
      </c>
      <c r="J140" s="362" t="s">
        <v>1122</v>
      </c>
      <c r="K140" s="363" t="s">
        <v>862</v>
      </c>
      <c r="L140" s="435" t="s">
        <v>104</v>
      </c>
    </row>
    <row r="141" spans="1:12" s="373" customFormat="1" ht="45.6" x14ac:dyDescent="0.25">
      <c r="A141" s="372" t="s">
        <v>362</v>
      </c>
      <c r="B141" s="221" t="s">
        <v>76</v>
      </c>
      <c r="C141" s="341" t="s">
        <v>439</v>
      </c>
      <c r="D141" s="341" t="s">
        <v>376</v>
      </c>
      <c r="E141" s="402">
        <v>17</v>
      </c>
      <c r="F141" s="342" t="s">
        <v>123</v>
      </c>
      <c r="G141" s="412">
        <f>117.05*12/'Average wages'!B32</f>
        <v>6.8770927043575306E-2</v>
      </c>
      <c r="H141" s="402" t="s">
        <v>1123</v>
      </c>
      <c r="I141" s="374" t="s">
        <v>591</v>
      </c>
      <c r="J141" s="344" t="str">
        <f>"EUR 188.02/month of income per family member ("&amp;TEXT(100*188.02*12/'Average wages'!B32,0)&amp;"% of AW)"</f>
        <v>EUR 188.02/month of income per family member (11% of AW)</v>
      </c>
      <c r="K141" s="345" t="str">
        <f>"Benefit withdrawn in six steps, fully withdrawn when income per family member exceeds EUR 1034.14/month ("&amp;TEXT(100*1034.14*12/'Average wages'!B32,0)&amp;"% of AW)"</f>
        <v>Benefit withdrawn in six steps, fully withdrawn when income per family member exceeds EUR 1034.14/month (61% of AW)</v>
      </c>
      <c r="L141" s="439" t="s">
        <v>104</v>
      </c>
    </row>
    <row r="142" spans="1:12" s="373" customFormat="1" ht="22.8" x14ac:dyDescent="0.25">
      <c r="A142" s="372" t="s">
        <v>363</v>
      </c>
      <c r="B142" s="79" t="s">
        <v>76</v>
      </c>
      <c r="C142" s="348" t="s">
        <v>440</v>
      </c>
      <c r="D142" s="348" t="s">
        <v>376</v>
      </c>
      <c r="E142" s="403" t="s">
        <v>104</v>
      </c>
      <c r="F142" s="347" t="s">
        <v>842</v>
      </c>
      <c r="G142" s="413">
        <f>404.38/3*12/'Average wages'!B32</f>
        <v>7.9195749616633879E-2</v>
      </c>
      <c r="H142" s="403">
        <v>0</v>
      </c>
      <c r="I142" s="349" t="s">
        <v>589</v>
      </c>
      <c r="J142" s="355" t="s">
        <v>95</v>
      </c>
      <c r="K142" s="351" t="s">
        <v>862</v>
      </c>
      <c r="L142" s="434" t="s">
        <v>104</v>
      </c>
    </row>
    <row r="143" spans="1:12" s="373" customFormat="1" ht="22.8" x14ac:dyDescent="0.25">
      <c r="A143" s="372" t="s">
        <v>359</v>
      </c>
      <c r="B143" s="79" t="s">
        <v>76</v>
      </c>
      <c r="C143" s="348" t="s">
        <v>441</v>
      </c>
      <c r="D143" s="348" t="s">
        <v>432</v>
      </c>
      <c r="E143" s="403" t="s">
        <v>104</v>
      </c>
      <c r="F143" s="347" t="s">
        <v>123</v>
      </c>
      <c r="G143" s="413">
        <f>2436.92/'Average wages'!B32</f>
        <v>0.11931457178629472</v>
      </c>
      <c r="H143" s="403">
        <v>0</v>
      </c>
      <c r="I143" s="349" t="s">
        <v>590</v>
      </c>
      <c r="J143" s="355" t="s">
        <v>95</v>
      </c>
      <c r="K143" s="351" t="s">
        <v>95</v>
      </c>
      <c r="L143" s="434" t="s">
        <v>95</v>
      </c>
    </row>
    <row r="144" spans="1:12" s="373" customFormat="1" ht="22.8" x14ac:dyDescent="0.25">
      <c r="A144" s="372" t="s">
        <v>360</v>
      </c>
      <c r="B144" s="79" t="s">
        <v>76</v>
      </c>
      <c r="C144" s="348" t="s">
        <v>442</v>
      </c>
      <c r="D144" s="348" t="s">
        <v>376</v>
      </c>
      <c r="E144" s="403" t="s">
        <v>104</v>
      </c>
      <c r="F144" s="347" t="s">
        <v>416</v>
      </c>
      <c r="G144" s="413">
        <f>402.18*0.18*12/'Average wages'!B32</f>
        <v>4.2533041084231706E-2</v>
      </c>
      <c r="H144" s="403">
        <v>0</v>
      </c>
      <c r="I144" s="357">
        <v>0</v>
      </c>
      <c r="J144" s="355" t="s">
        <v>869</v>
      </c>
      <c r="K144" s="351" t="s">
        <v>870</v>
      </c>
      <c r="L144" s="434" t="s">
        <v>248</v>
      </c>
    </row>
    <row r="145" spans="1:12" s="373" customFormat="1" ht="45.6" x14ac:dyDescent="0.25">
      <c r="A145" s="372" t="s">
        <v>359</v>
      </c>
      <c r="B145" s="222" t="s">
        <v>76</v>
      </c>
      <c r="C145" s="359" t="s">
        <v>443</v>
      </c>
      <c r="D145" s="359" t="s">
        <v>376</v>
      </c>
      <c r="E145" s="404">
        <v>17</v>
      </c>
      <c r="F145" s="360" t="s">
        <v>416</v>
      </c>
      <c r="G145" s="414">
        <f>0.3*117.05*12/'Average wages'!B32</f>
        <v>2.0631278113072592E-2</v>
      </c>
      <c r="H145" s="404" t="s">
        <v>1124</v>
      </c>
      <c r="I145" s="375" t="s">
        <v>591</v>
      </c>
      <c r="J145" s="362" t="str">
        <f>J141</f>
        <v>EUR 188.02/month of income per family member (11% of AW)</v>
      </c>
      <c r="K145" s="363" t="str">
        <f>K141</f>
        <v>Benefit withdrawn in six steps, fully withdrawn when income per family member exceeds EUR 1034.14/month (61% of AW)</v>
      </c>
      <c r="L145" s="435" t="s">
        <v>104</v>
      </c>
    </row>
    <row r="146" spans="1:12" ht="45.6" x14ac:dyDescent="0.25">
      <c r="A146" s="124" t="s">
        <v>362</v>
      </c>
      <c r="B146" s="325" t="s">
        <v>77</v>
      </c>
      <c r="C146" s="69" t="s">
        <v>1211</v>
      </c>
      <c r="D146" s="69" t="s">
        <v>376</v>
      </c>
      <c r="E146" s="398">
        <v>17</v>
      </c>
      <c r="F146" s="73" t="s">
        <v>123</v>
      </c>
      <c r="G146" s="408">
        <f>588/'Average wages'!B33</f>
        <v>2.1830951614331375E-2</v>
      </c>
      <c r="H146" s="398">
        <v>0</v>
      </c>
      <c r="I146" s="119">
        <v>0</v>
      </c>
      <c r="J146" s="533" t="str">
        <f>"Income threshold increases with number of children; maximum income for one child EUR 12 424 ("&amp;TEXT(12424/'Average wages'!B33,"0%")&amp;" of AW)"</f>
        <v>Income threshold increases with number of children; maximum income for one child EUR 12 424 (46% of AW)</v>
      </c>
      <c r="K146" s="122">
        <v>1</v>
      </c>
      <c r="L146" s="112" t="s">
        <v>104</v>
      </c>
    </row>
    <row r="147" spans="1:12" ht="45.6" x14ac:dyDescent="0.25">
      <c r="A147" s="124" t="s">
        <v>360</v>
      </c>
      <c r="B147" s="376" t="s">
        <v>78</v>
      </c>
      <c r="C147" s="366" t="s">
        <v>1018</v>
      </c>
      <c r="D147" s="366" t="s">
        <v>380</v>
      </c>
      <c r="E147" s="405" t="s">
        <v>444</v>
      </c>
      <c r="F147" s="377" t="s">
        <v>123</v>
      </c>
      <c r="G147" s="415">
        <f>15000/'Average wages'!B34</f>
        <v>3.220495799059022E-2</v>
      </c>
      <c r="H147" s="425" t="s">
        <v>691</v>
      </c>
      <c r="I147" s="378" t="s">
        <v>377</v>
      </c>
      <c r="J147" s="318" t="s">
        <v>95</v>
      </c>
      <c r="K147" s="319" t="s">
        <v>95</v>
      </c>
      <c r="L147" s="436" t="s">
        <v>95</v>
      </c>
    </row>
    <row r="148" spans="1:12" x14ac:dyDescent="0.25">
      <c r="A148" s="124" t="s">
        <v>359</v>
      </c>
      <c r="B148" s="379" t="s">
        <v>78</v>
      </c>
      <c r="C148" s="380" t="s">
        <v>480</v>
      </c>
      <c r="D148" s="380" t="s">
        <v>380</v>
      </c>
      <c r="E148" s="388" t="s">
        <v>444</v>
      </c>
      <c r="F148" s="381" t="s">
        <v>402</v>
      </c>
      <c r="G148" s="417">
        <f>1573*12/'Average wages'!B34</f>
        <v>4.0526719135358734E-2</v>
      </c>
      <c r="H148" s="426" t="s">
        <v>377</v>
      </c>
      <c r="I148" s="382">
        <v>0</v>
      </c>
      <c r="J148" s="323" t="s">
        <v>95</v>
      </c>
      <c r="K148" s="324" t="s">
        <v>95</v>
      </c>
      <c r="L148" s="440" t="s">
        <v>95</v>
      </c>
    </row>
    <row r="149" spans="1:12" ht="22.8" x14ac:dyDescent="0.25">
      <c r="A149" s="124" t="s">
        <v>362</v>
      </c>
      <c r="B149" s="221" t="s">
        <v>371</v>
      </c>
      <c r="C149" s="209" t="s">
        <v>745</v>
      </c>
      <c r="D149" s="209" t="s">
        <v>380</v>
      </c>
      <c r="E149" s="398" t="s">
        <v>746</v>
      </c>
      <c r="F149" s="215" t="s">
        <v>446</v>
      </c>
      <c r="G149" s="408">
        <f>2400/'Average wages'!B35</f>
        <v>2.7471628404778171E-2</v>
      </c>
      <c r="H149" s="398" t="s">
        <v>377</v>
      </c>
      <c r="I149" s="119">
        <v>0</v>
      </c>
      <c r="J149" s="533" t="s">
        <v>95</v>
      </c>
      <c r="K149" s="122" t="s">
        <v>95</v>
      </c>
      <c r="L149" s="112" t="s">
        <v>95</v>
      </c>
    </row>
    <row r="150" spans="1:12" ht="22.8" x14ac:dyDescent="0.25">
      <c r="A150" s="124"/>
      <c r="B150" s="222" t="s">
        <v>371</v>
      </c>
      <c r="C150" s="210" t="s">
        <v>1019</v>
      </c>
      <c r="D150" s="210" t="s">
        <v>394</v>
      </c>
      <c r="E150" s="399" t="s">
        <v>843</v>
      </c>
      <c r="F150" s="216" t="s">
        <v>123</v>
      </c>
      <c r="G150" s="409">
        <f>251/'Average wages'!B34</f>
        <v>5.3889629704254309E-4</v>
      </c>
      <c r="H150" s="399">
        <v>0</v>
      </c>
      <c r="I150" s="121" t="s">
        <v>136</v>
      </c>
      <c r="J150" s="535" t="s">
        <v>95</v>
      </c>
      <c r="K150" s="120" t="s">
        <v>95</v>
      </c>
      <c r="L150" s="330" t="s">
        <v>95</v>
      </c>
    </row>
    <row r="151" spans="1:12" x14ac:dyDescent="0.25">
      <c r="A151" s="317" t="s">
        <v>359</v>
      </c>
      <c r="B151" s="223" t="s">
        <v>371</v>
      </c>
      <c r="C151" s="211" t="s">
        <v>423</v>
      </c>
      <c r="D151" s="211" t="s">
        <v>380</v>
      </c>
      <c r="E151" s="400" t="s">
        <v>843</v>
      </c>
      <c r="F151" s="217" t="s">
        <v>123</v>
      </c>
      <c r="G151" s="305">
        <f>6500/'Average wages'!B35</f>
        <v>7.4402326929607548E-2</v>
      </c>
      <c r="H151" s="400">
        <v>0</v>
      </c>
      <c r="I151" s="129">
        <v>0</v>
      </c>
      <c r="J151" s="523" t="s">
        <v>95</v>
      </c>
      <c r="K151" s="524" t="s">
        <v>95</v>
      </c>
      <c r="L151" s="332" t="s">
        <v>95</v>
      </c>
    </row>
    <row r="152" spans="1:12" ht="34.200000000000003" x14ac:dyDescent="0.25">
      <c r="A152" s="317"/>
      <c r="B152" s="193" t="s">
        <v>80</v>
      </c>
      <c r="C152" s="326" t="s">
        <v>1125</v>
      </c>
      <c r="D152" s="326" t="s">
        <v>376</v>
      </c>
      <c r="E152" s="399">
        <v>18</v>
      </c>
      <c r="F152" s="191" t="s">
        <v>1126</v>
      </c>
      <c r="G152" s="305">
        <f>50*12/'[1]Average wages'!B35</f>
        <v>9.2169583985055505E-3</v>
      </c>
      <c r="H152" s="399" t="s">
        <v>377</v>
      </c>
      <c r="I152" s="127">
        <v>0</v>
      </c>
      <c r="J152" s="535" t="s">
        <v>123</v>
      </c>
      <c r="K152" s="120" t="s">
        <v>1127</v>
      </c>
      <c r="L152" s="330" t="s">
        <v>123</v>
      </c>
    </row>
    <row r="153" spans="1:12" ht="57" x14ac:dyDescent="0.25">
      <c r="A153" s="317" t="s">
        <v>360</v>
      </c>
      <c r="B153" s="383" t="s">
        <v>1433</v>
      </c>
      <c r="C153" s="274" t="s">
        <v>418</v>
      </c>
      <c r="D153" s="336" t="s">
        <v>447</v>
      </c>
      <c r="E153" s="405" t="s">
        <v>444</v>
      </c>
      <c r="F153" s="286" t="s">
        <v>123</v>
      </c>
      <c r="G153" s="415">
        <f>21.05*52/'Average wages'!B37</f>
        <v>2.6182040003673301E-2</v>
      </c>
      <c r="H153" s="405">
        <v>0</v>
      </c>
      <c r="I153" s="128" t="s">
        <v>398</v>
      </c>
      <c r="J153" s="318" t="str">
        <f>"GBP 50,000 ("&amp;TEXT(50000*100/'Average wages'!B37,0)&amp;"% of AW) of income of higher-earning parent"</f>
        <v>GBP 50,000 (120% of AW) of income of higher-earning parent</v>
      </c>
      <c r="K153" s="319" t="str">
        <f>"1% of benefit amount lost for each GBP 100 of income between GBP50000 ("&amp;TEXT(50000*100/'Average wages'!B37,0)&amp;"% of AW) to GBP 60000 ("&amp;TEXT(60000*100/'Average wages'!B37,0)&amp;"% of AW), at which point benefit is fully withdrawn"</f>
        <v>1% of benefit amount lost for each GBP 100 of income between GBP50000 (120% of AW) to GBP 60000 (144% of AW), at which point benefit is fully withdrawn</v>
      </c>
      <c r="L153" s="436" t="s">
        <v>123</v>
      </c>
    </row>
    <row r="154" spans="1:12" ht="24.6" x14ac:dyDescent="0.25">
      <c r="A154" s="317" t="s">
        <v>364</v>
      </c>
      <c r="B154" s="224" t="s">
        <v>1439</v>
      </c>
      <c r="C154" s="209" t="s">
        <v>448</v>
      </c>
      <c r="D154" s="209" t="s">
        <v>376</v>
      </c>
      <c r="E154" s="398" t="s">
        <v>449</v>
      </c>
      <c r="F154" s="215" t="s">
        <v>123</v>
      </c>
      <c r="G154" s="408">
        <f>403*12/'Average wages'!B38</f>
        <v>8.0305029831579597E-2</v>
      </c>
      <c r="H154" s="398">
        <v>0</v>
      </c>
      <c r="I154" s="194" t="s">
        <v>398</v>
      </c>
      <c r="J154" s="533" t="str">
        <f>"USD 200/month ("&amp;TEXT(100*200*12/'Average wages'!B38,0)&amp;"% of AW)"</f>
        <v>USD 200/month (4% of AW)</v>
      </c>
      <c r="K154" s="122">
        <v>0.5</v>
      </c>
      <c r="L154" s="112" t="s">
        <v>104</v>
      </c>
    </row>
    <row r="155" spans="1:12" ht="45.6" x14ac:dyDescent="0.25">
      <c r="A155" s="124" t="s">
        <v>362</v>
      </c>
      <c r="B155" s="225" t="s">
        <v>1020</v>
      </c>
      <c r="C155" s="216" t="s">
        <v>450</v>
      </c>
      <c r="D155" s="210" t="s">
        <v>387</v>
      </c>
      <c r="E155" s="399" t="s">
        <v>414</v>
      </c>
      <c r="F155" s="216" t="s">
        <v>451</v>
      </c>
      <c r="G155" s="409">
        <f>(3584-538)/'Average wages'!B38</f>
        <v>5.0580876936929579E-2</v>
      </c>
      <c r="H155" s="399">
        <v>0</v>
      </c>
      <c r="I155" s="127" t="s">
        <v>398</v>
      </c>
      <c r="J155" s="535" t="str">
        <f>"USD 19,328 ("&amp;TEXT(100*19328/'Average wages'!B38,0)&amp;"% of AW) for single people 
USD 25,218 ("&amp;TEXT(100*25218/'Average wages'!B38,0)&amp;"% of AW) for couples"</f>
        <v>USD 19,328 (32% of AW) for single people 
USD 25,218 (42% of AW) for couples</v>
      </c>
      <c r="K155" s="120" t="s">
        <v>871</v>
      </c>
      <c r="L155" s="330" t="s">
        <v>104</v>
      </c>
    </row>
    <row r="156" spans="1:12" ht="22.8" x14ac:dyDescent="0.25">
      <c r="A156" s="124" t="s">
        <v>362</v>
      </c>
      <c r="B156" s="225" t="s">
        <v>1440</v>
      </c>
      <c r="C156" s="216" t="s">
        <v>701</v>
      </c>
      <c r="D156" s="210" t="s">
        <v>452</v>
      </c>
      <c r="E156" s="399" t="s">
        <v>104</v>
      </c>
      <c r="F156" s="216" t="s">
        <v>416</v>
      </c>
      <c r="G156" s="409">
        <f>10%*(24800-18650)/'Average wages'!B38</f>
        <v>1.0212488285033385E-2</v>
      </c>
      <c r="H156" s="399">
        <v>0</v>
      </c>
      <c r="I156" s="127">
        <v>0</v>
      </c>
      <c r="J156" s="535" t="s">
        <v>95</v>
      </c>
      <c r="K156" s="120" t="s">
        <v>95</v>
      </c>
      <c r="L156" s="330" t="s">
        <v>104</v>
      </c>
    </row>
    <row r="157" spans="1:12" ht="45.6" x14ac:dyDescent="0.25">
      <c r="A157" s="124"/>
      <c r="B157" s="225" t="s">
        <v>316</v>
      </c>
      <c r="C157" s="216" t="s">
        <v>429</v>
      </c>
      <c r="D157" s="210" t="s">
        <v>453</v>
      </c>
      <c r="E157" s="399">
        <v>16</v>
      </c>
      <c r="F157" s="216" t="s">
        <v>123</v>
      </c>
      <c r="G157" s="409">
        <f>2000/'Average wages'!B38</f>
        <v>3.321134401636873E-2</v>
      </c>
      <c r="H157" s="399">
        <v>0</v>
      </c>
      <c r="I157" s="307" t="s">
        <v>462</v>
      </c>
      <c r="J157" s="535" t="str">
        <f>"USD 400,000 ("&amp;TEXT(100*400000/'Average wages'!B38,0)&amp;"% of AW) for married taxpayers
USD 200,000 ("&amp;TEXT(100*200000/'Average wages'!B38,0)&amp;"% of AW) for single and lone-parent taxpayers"</f>
        <v>USD 400,000 (664% of AW) for married taxpayers
USD 200,000 (332% of AW) for single and lone-parent taxpayers</v>
      </c>
      <c r="K157" s="120">
        <v>0.05</v>
      </c>
      <c r="L157" s="330" t="s">
        <v>104</v>
      </c>
    </row>
    <row r="158" spans="1:12" ht="22.8" x14ac:dyDescent="0.25">
      <c r="A158" s="124" t="s">
        <v>359</v>
      </c>
      <c r="B158" s="393" t="s">
        <v>316</v>
      </c>
      <c r="C158" s="211" t="s">
        <v>700</v>
      </c>
      <c r="D158" s="211" t="s">
        <v>434</v>
      </c>
      <c r="E158" s="400" t="s">
        <v>104</v>
      </c>
      <c r="F158" s="217" t="s">
        <v>416</v>
      </c>
      <c r="G158" s="419" t="s">
        <v>95</v>
      </c>
      <c r="H158" s="400">
        <v>0</v>
      </c>
      <c r="I158" s="322" t="s">
        <v>136</v>
      </c>
      <c r="J158" s="523" t="s">
        <v>95</v>
      </c>
      <c r="K158" s="524" t="s">
        <v>95</v>
      </c>
      <c r="L158" s="332" t="s">
        <v>104</v>
      </c>
    </row>
    <row r="159" spans="1:12" x14ac:dyDescent="0.25">
      <c r="A159" s="124" t="s">
        <v>359</v>
      </c>
      <c r="B159" s="21" t="s">
        <v>1149</v>
      </c>
      <c r="C159" s="218"/>
      <c r="D159" s="218"/>
      <c r="E159" s="406"/>
      <c r="F159" s="131"/>
      <c r="G159" s="420"/>
      <c r="H159" s="193"/>
      <c r="I159" s="131"/>
      <c r="J159" s="193"/>
      <c r="K159" s="131"/>
      <c r="L159" s="243"/>
    </row>
    <row r="160" spans="1:12" ht="68.400000000000006" x14ac:dyDescent="0.25">
      <c r="A160" s="124" t="s">
        <v>362</v>
      </c>
      <c r="B160" s="394" t="s">
        <v>83</v>
      </c>
      <c r="C160" s="336" t="s">
        <v>836</v>
      </c>
      <c r="D160" s="336" t="s">
        <v>376</v>
      </c>
      <c r="E160" s="405" t="s">
        <v>428</v>
      </c>
      <c r="F160" s="286" t="s">
        <v>123</v>
      </c>
      <c r="G160" s="415">
        <f>40*12/'Average wages'!B40</f>
        <v>2.9822610194123765E-2</v>
      </c>
      <c r="H160" s="405">
        <v>0</v>
      </c>
      <c r="I160" s="384" t="s">
        <v>1128</v>
      </c>
      <c r="J160" s="318" t="str">
        <f>"BGN 410 per month ("&amp;TEXT(410*12/'Average wages'!B40,"0%")&amp;" of AW) per family member"</f>
        <v>BGN 410 per month (31% of AW) per family member</v>
      </c>
      <c r="K160" s="319" t="str">
        <f>"Benefit withdrawn in two stages: 80% of the allowance paid if gross income per family member is between BGN 410 and BGN 510 per month ("&amp;TEXT(510*12/'Average wages'!B40,"0%")&amp;" of AW)
Benefit fully withdrawn if gross income per family member above this level"</f>
        <v>Benefit withdrawn in two stages: 80% of the allowance paid if gross income per family member is between BGN 410 and BGN 510 per month (38% of AW)
Benefit fully withdrawn if gross income per family member above this level</v>
      </c>
      <c r="L160" s="436" t="s">
        <v>248</v>
      </c>
    </row>
    <row r="161" spans="1:12" ht="22.8" x14ac:dyDescent="0.25">
      <c r="A161" s="124" t="s">
        <v>359</v>
      </c>
      <c r="B161" s="395" t="s">
        <v>83</v>
      </c>
      <c r="C161" s="327" t="s">
        <v>837</v>
      </c>
      <c r="D161" s="327" t="s">
        <v>376</v>
      </c>
      <c r="E161" s="389" t="s">
        <v>454</v>
      </c>
      <c r="F161" s="244" t="s">
        <v>123</v>
      </c>
      <c r="G161" s="416">
        <f>250/'Average wages'!B40</f>
        <v>1.5532609476106128E-2</v>
      </c>
      <c r="H161" s="389">
        <v>0</v>
      </c>
      <c r="I161" s="385">
        <v>0</v>
      </c>
      <c r="J161" s="320" t="str">
        <f>"BGN 450 per month ("&amp;TEXT(450*12/'Average wages'!B40,"0%")&amp;" of AW) per family member"</f>
        <v>BGN 450 per month (34% of AW) per family member</v>
      </c>
      <c r="K161" s="385" t="s">
        <v>872</v>
      </c>
      <c r="L161" s="441" t="s">
        <v>248</v>
      </c>
    </row>
    <row r="162" spans="1:12" ht="22.8" x14ac:dyDescent="0.25">
      <c r="A162" s="124" t="s">
        <v>362</v>
      </c>
      <c r="B162" s="396" t="s">
        <v>83</v>
      </c>
      <c r="C162" s="386" t="s">
        <v>1129</v>
      </c>
      <c r="D162" s="386" t="s">
        <v>380</v>
      </c>
      <c r="E162" s="388">
        <v>17</v>
      </c>
      <c r="F162" s="77" t="s">
        <v>455</v>
      </c>
      <c r="G162" s="417">
        <f>80*12/'Average wages'!B40</f>
        <v>5.964522038824753E-2</v>
      </c>
      <c r="H162" s="388">
        <v>0</v>
      </c>
      <c r="I162" s="387">
        <v>0</v>
      </c>
      <c r="J162" s="388" t="s">
        <v>95</v>
      </c>
      <c r="K162" s="387" t="s">
        <v>95</v>
      </c>
      <c r="L162" s="438" t="s">
        <v>95</v>
      </c>
    </row>
    <row r="163" spans="1:12" s="251" customFormat="1" ht="45.6" x14ac:dyDescent="0.25">
      <c r="A163" s="124" t="s">
        <v>359</v>
      </c>
      <c r="B163" s="308" t="s">
        <v>84</v>
      </c>
      <c r="C163" s="69" t="s">
        <v>1362</v>
      </c>
      <c r="D163" s="69" t="s">
        <v>376</v>
      </c>
      <c r="E163" s="398" t="s">
        <v>456</v>
      </c>
      <c r="F163" s="73" t="s">
        <v>123</v>
      </c>
      <c r="G163" s="408">
        <f>3326*0.09*12/'Average wages'!B41</f>
        <v>3.4701287185489829E-2</v>
      </c>
      <c r="H163" s="398">
        <v>0</v>
      </c>
      <c r="I163" s="119" t="s">
        <v>463</v>
      </c>
      <c r="J163" s="533" t="str">
        <f>"HRK 543 per month ("&amp;TEXT(0.1633*3326*12/'Average wages'!B41,"0%")&amp;" of AW) per family member"</f>
        <v>HRK 543 per month (6% of AW) per family member</v>
      </c>
      <c r="K163" s="122" t="str">
        <f>"Benefit decreases in steps with income brackets, fully withdrawn when income exceeds HRK 2,328 per month ("&amp;TEXT(2328*12/'Average wages'!B41,"0%")&amp;" of AW) per family member"</f>
        <v>Benefit decreases in steps with income brackets, fully withdrawn when income exceeds HRK 2,328 per month (27% of AW) per family member</v>
      </c>
      <c r="L163" s="112" t="s">
        <v>248</v>
      </c>
    </row>
    <row r="164" spans="1:12" s="22" customFormat="1" ht="45.6" x14ac:dyDescent="0.25">
      <c r="A164" s="124" t="s">
        <v>359</v>
      </c>
      <c r="B164" s="31" t="s">
        <v>84</v>
      </c>
      <c r="C164" s="327" t="s">
        <v>622</v>
      </c>
      <c r="D164" s="327" t="s">
        <v>376</v>
      </c>
      <c r="E164" s="389" t="s">
        <v>456</v>
      </c>
      <c r="F164" s="244" t="s">
        <v>416</v>
      </c>
      <c r="G164" s="416">
        <f>3326*0.09*0.15*12/'Average wages'!B41</f>
        <v>5.2051930778234737E-3</v>
      </c>
      <c r="H164" s="389">
        <v>0</v>
      </c>
      <c r="I164" s="427" t="s">
        <v>463</v>
      </c>
      <c r="J164" s="389" t="str">
        <f>J163</f>
        <v>HRK 543 per month (6% of AW) per family member</v>
      </c>
      <c r="K164" s="385" t="str">
        <f>K163</f>
        <v>Benefit decreases in steps with income brackets, fully withdrawn when income exceeds HRK 2,328 per month (27% of AW) per family member</v>
      </c>
      <c r="L164" s="441" t="s">
        <v>248</v>
      </c>
    </row>
    <row r="165" spans="1:12" s="22" customFormat="1" x14ac:dyDescent="0.25">
      <c r="A165" s="124"/>
      <c r="B165" s="31" t="s">
        <v>84</v>
      </c>
      <c r="C165" s="327" t="s">
        <v>423</v>
      </c>
      <c r="D165" s="327" t="s">
        <v>376</v>
      </c>
      <c r="E165" s="389" t="s">
        <v>104</v>
      </c>
      <c r="F165" s="244" t="s">
        <v>498</v>
      </c>
      <c r="G165" s="416">
        <f>21000/'Average wages'!B41</f>
        <v>0.20287049032741097</v>
      </c>
      <c r="H165" s="389">
        <v>0</v>
      </c>
      <c r="I165" s="427" t="s">
        <v>1337</v>
      </c>
      <c r="J165" s="389" t="s">
        <v>95</v>
      </c>
      <c r="K165" s="385" t="s">
        <v>623</v>
      </c>
      <c r="L165" s="441" t="s">
        <v>623</v>
      </c>
    </row>
    <row r="166" spans="1:12" s="22" customFormat="1" ht="34.200000000000003" x14ac:dyDescent="0.25">
      <c r="A166" s="124"/>
      <c r="B166" s="31" t="s">
        <v>84</v>
      </c>
      <c r="C166" s="326" t="s">
        <v>838</v>
      </c>
      <c r="D166" s="326" t="s">
        <v>380</v>
      </c>
      <c r="E166" s="399" t="s">
        <v>668</v>
      </c>
      <c r="F166" s="191" t="s">
        <v>854</v>
      </c>
      <c r="G166" s="409">
        <f>6806*12/'Average wages'!B41</f>
        <v>0.78899231838191952</v>
      </c>
      <c r="H166" s="399">
        <v>0</v>
      </c>
      <c r="I166" s="427" t="s">
        <v>136</v>
      </c>
      <c r="J166" s="535" t="s">
        <v>95</v>
      </c>
      <c r="K166" s="120" t="s">
        <v>623</v>
      </c>
      <c r="L166" s="330" t="s">
        <v>623</v>
      </c>
    </row>
    <row r="167" spans="1:12" s="251" customFormat="1" ht="68.400000000000006" x14ac:dyDescent="0.25">
      <c r="A167" s="124" t="s">
        <v>360</v>
      </c>
      <c r="B167" s="308" t="s">
        <v>585</v>
      </c>
      <c r="C167" s="69" t="s">
        <v>641</v>
      </c>
      <c r="D167" s="69" t="s">
        <v>376</v>
      </c>
      <c r="E167" s="398" t="s">
        <v>1363</v>
      </c>
      <c r="F167" s="73" t="s">
        <v>123</v>
      </c>
      <c r="G167" s="408">
        <f>475*1.0197/'Average wages'!B42</f>
        <v>2.0910978150114647E-2</v>
      </c>
      <c r="H167" s="398">
        <v>0</v>
      </c>
      <c r="I167" s="194" t="s">
        <v>859</v>
      </c>
      <c r="J167" s="533" t="str">
        <f>"EUR 19,500 ("&amp;TEXT(19500/'Average wages'!B42,"0%")&amp;" of AW)"</f>
        <v>EUR 19,500 (84% of AW)</v>
      </c>
      <c r="K167" s="122" t="str">
        <f>"Benefit decreases in steps with income brackets, fully withdrawn at EUR 49,000 ("&amp;TEXT(49000/'Average wages'!B42,"0%")&amp;" of AW) for 1-child families, EUR 59,000 ("&amp;TEXT(59000/'Average wages'!B42,"0%")&amp;" of AW) for those with 2 children plus EUR 5,000 ("&amp;TEXT(5000/'Average wages'!B42,"0%")&amp;" of AW) for each additional child"</f>
        <v>Benefit decreases in steps with income brackets, fully withdrawn at EUR 49,000 (212% of AW) for 1-child families, EUR 59,000 (255% of AW) for those with 2 children plus EUR 5,000 (22% of AW) for each additional child</v>
      </c>
      <c r="L167" s="112" t="s">
        <v>248</v>
      </c>
    </row>
    <row r="168" spans="1:12" s="237" customFormat="1" ht="22.8" x14ac:dyDescent="0.25">
      <c r="A168" s="124" t="s">
        <v>362</v>
      </c>
      <c r="B168" s="365" t="s">
        <v>585</v>
      </c>
      <c r="C168" s="328" t="s">
        <v>724</v>
      </c>
      <c r="D168" s="328" t="s">
        <v>376</v>
      </c>
      <c r="E168" s="400" t="s">
        <v>1363</v>
      </c>
      <c r="F168" s="232" t="s">
        <v>416</v>
      </c>
      <c r="G168" s="305">
        <f>2160*1.0197/'Average wages'!B42</f>
        <v>9.5089921693152918E-2</v>
      </c>
      <c r="H168" s="400">
        <v>0</v>
      </c>
      <c r="I168" s="129">
        <v>0</v>
      </c>
      <c r="J168" s="523" t="str">
        <f>"EUR 39,000 ("&amp;TEXT(39000/'Average wages'!B42,"0%")&amp;" of AW)"</f>
        <v>EUR 39,000 (168% of AW)</v>
      </c>
      <c r="K168" s="524" t="str">
        <f>"Benefit decreases in steps, fully withdrawn at EUR 49,000 ("&amp;TEXT(49000/'Average wages'!B42,"0%")&amp;" of AW)"</f>
        <v>Benefit decreases in steps, fully withdrawn at EUR 49,000 (212% of AW)</v>
      </c>
      <c r="L168" s="332" t="s">
        <v>248</v>
      </c>
    </row>
    <row r="169" spans="1:12" ht="34.200000000000003" x14ac:dyDescent="0.25">
      <c r="A169" s="124" t="s">
        <v>360</v>
      </c>
      <c r="B169" s="397" t="s">
        <v>192</v>
      </c>
      <c r="C169" s="336" t="s">
        <v>1130</v>
      </c>
      <c r="D169" s="336" t="s">
        <v>376</v>
      </c>
      <c r="E169" s="405" t="s">
        <v>1131</v>
      </c>
      <c r="F169" s="286" t="s">
        <v>123</v>
      </c>
      <c r="G169" s="415">
        <f>(25227-5963)*0.065/'[1]Average wages'!B43</f>
        <v>4.8342212956528456E-2</v>
      </c>
      <c r="H169" s="405" t="s">
        <v>398</v>
      </c>
      <c r="I169" s="378">
        <v>0</v>
      </c>
      <c r="J169" s="318" t="str">
        <f>"EUR 5,973 ("&amp;TEXT(5963/'[1]Average wages'!B43,"0%")&amp;" of AW)"</f>
        <v>EUR 5,973 (23% of AW)</v>
      </c>
      <c r="K169" s="319" t="s">
        <v>460</v>
      </c>
      <c r="L169" s="436" t="s">
        <v>104</v>
      </c>
    </row>
    <row r="170" spans="1:12" ht="22.8" x14ac:dyDescent="0.25">
      <c r="A170" s="124"/>
      <c r="B170" s="397" t="s">
        <v>87</v>
      </c>
      <c r="C170" s="336" t="s">
        <v>1132</v>
      </c>
      <c r="D170" s="336" t="s">
        <v>380</v>
      </c>
      <c r="E170" s="405" t="s">
        <v>1133</v>
      </c>
      <c r="F170" s="286" t="s">
        <v>123</v>
      </c>
      <c r="G170" s="415">
        <f>150*12/'[1]Average wages'!B44</f>
        <v>2.7629397679130595E-2</v>
      </c>
      <c r="H170" s="405" t="s">
        <v>398</v>
      </c>
      <c r="I170" s="378">
        <v>0</v>
      </c>
      <c r="J170" s="318" t="s">
        <v>95</v>
      </c>
      <c r="K170" s="319" t="s">
        <v>95</v>
      </c>
      <c r="L170" s="436" t="s">
        <v>104</v>
      </c>
    </row>
    <row r="171" spans="1:12" ht="45.6" x14ac:dyDescent="0.25">
      <c r="A171" s="124"/>
      <c r="B171" s="370" t="s">
        <v>87</v>
      </c>
      <c r="C171" s="327" t="s">
        <v>481</v>
      </c>
      <c r="D171" s="327" t="s">
        <v>376</v>
      </c>
      <c r="E171" s="389">
        <v>18</v>
      </c>
      <c r="F171" s="244" t="s">
        <v>123</v>
      </c>
      <c r="G171" s="416">
        <f>82*12/'[1]Average wages'!B44</f>
        <v>1.5104070731258058E-2</v>
      </c>
      <c r="H171" s="389">
        <v>0</v>
      </c>
      <c r="I171" s="385" t="s">
        <v>465</v>
      </c>
      <c r="J171" s="389" t="str">
        <f>"RON 200/month ("&amp;TEXT(200*12/'[1]Average wages'!B44,"0%")&amp;" of AW) of net income per person"</f>
        <v>RON 200/month (4% of AW) of net income per person</v>
      </c>
      <c r="K171" s="385" t="s">
        <v>636</v>
      </c>
      <c r="L171" s="441" t="s">
        <v>104</v>
      </c>
    </row>
    <row r="172" spans="1:12" ht="45.6" x14ac:dyDescent="0.25">
      <c r="B172" s="442" t="s">
        <v>87</v>
      </c>
      <c r="C172" s="386" t="s">
        <v>482</v>
      </c>
      <c r="D172" s="386" t="s">
        <v>376</v>
      </c>
      <c r="E172" s="388">
        <v>18</v>
      </c>
      <c r="F172" s="77" t="s">
        <v>416</v>
      </c>
      <c r="G172" s="417">
        <f>107*12/'[1]Average wages'!B44</f>
        <v>1.9708970344446491E-2</v>
      </c>
      <c r="H172" s="388">
        <v>0</v>
      </c>
      <c r="I172" s="387" t="s">
        <v>465</v>
      </c>
      <c r="J172" s="388" t="str">
        <f>J171</f>
        <v>RON 200/month (4% of AW) of net income per person</v>
      </c>
      <c r="K172" s="387" t="s">
        <v>636</v>
      </c>
      <c r="L172" s="438" t="s">
        <v>104</v>
      </c>
    </row>
    <row r="174" spans="1:12" x14ac:dyDescent="0.25">
      <c r="B174" s="390" t="s">
        <v>88</v>
      </c>
    </row>
    <row r="175" spans="1:12" x14ac:dyDescent="0.25">
      <c r="B175" s="555" t="s">
        <v>89</v>
      </c>
      <c r="C175" s="212"/>
      <c r="D175" s="212"/>
      <c r="E175" s="314"/>
      <c r="F175" s="212"/>
      <c r="G175" s="22"/>
      <c r="H175" s="22"/>
      <c r="I175" s="22"/>
      <c r="J175" s="22"/>
      <c r="K175" s="22"/>
      <c r="L175" s="22"/>
    </row>
    <row r="176" spans="1:12" x14ac:dyDescent="0.25">
      <c r="B176" s="220" t="s">
        <v>524</v>
      </c>
      <c r="C176" s="212"/>
      <c r="D176" s="212"/>
      <c r="E176" s="314"/>
      <c r="F176" s="212"/>
      <c r="G176" s="22"/>
      <c r="H176" s="22"/>
      <c r="I176" s="22"/>
      <c r="J176" s="22"/>
      <c r="K176" s="22"/>
      <c r="L176" s="22"/>
    </row>
    <row r="177" spans="2:12" x14ac:dyDescent="0.25">
      <c r="B177" s="220" t="s">
        <v>606</v>
      </c>
    </row>
    <row r="178" spans="2:12" x14ac:dyDescent="0.25">
      <c r="B178" s="220" t="s">
        <v>525</v>
      </c>
    </row>
    <row r="179" spans="2:12" x14ac:dyDescent="0.25">
      <c r="B179" s="220" t="s">
        <v>734</v>
      </c>
    </row>
    <row r="180" spans="2:12" x14ac:dyDescent="0.25">
      <c r="B180" s="220" t="s">
        <v>1441</v>
      </c>
    </row>
    <row r="181" spans="2:12" x14ac:dyDescent="0.25">
      <c r="B181" s="220" t="s">
        <v>1442</v>
      </c>
    </row>
    <row r="182" spans="2:12" x14ac:dyDescent="0.25">
      <c r="B182" s="141" t="s">
        <v>1443</v>
      </c>
      <c r="C182" s="141"/>
      <c r="D182" s="141"/>
      <c r="E182" s="391"/>
      <c r="F182" s="141"/>
      <c r="G182" s="141"/>
      <c r="H182" s="141"/>
      <c r="I182" s="141"/>
      <c r="J182" s="141"/>
      <c r="K182" s="141"/>
      <c r="L182" s="141"/>
    </row>
    <row r="183" spans="2:12" s="141" customFormat="1" x14ac:dyDescent="0.25">
      <c r="B183" s="220" t="s">
        <v>1444</v>
      </c>
      <c r="C183" s="213"/>
      <c r="D183" s="213"/>
      <c r="E183" s="315"/>
      <c r="F183" s="213"/>
      <c r="G183" s="23"/>
      <c r="H183" s="23"/>
      <c r="I183" s="23"/>
      <c r="J183" s="23"/>
      <c r="K183" s="23"/>
      <c r="L183" s="23"/>
    </row>
    <row r="184" spans="2:12" x14ac:dyDescent="0.25">
      <c r="B184" s="642" t="s">
        <v>1445</v>
      </c>
      <c r="C184" s="642"/>
      <c r="D184" s="642"/>
      <c r="E184" s="642"/>
      <c r="F184" s="642"/>
      <c r="G184" s="642"/>
      <c r="H184" s="642"/>
      <c r="I184" s="642"/>
      <c r="J184" s="642"/>
      <c r="K184" s="642"/>
      <c r="L184" s="642"/>
    </row>
    <row r="186" spans="2:12" x14ac:dyDescent="0.25">
      <c r="B186" s="551"/>
      <c r="C186" s="551"/>
      <c r="D186" s="551"/>
      <c r="E186" s="551"/>
      <c r="F186" s="551"/>
      <c r="G186" s="551"/>
      <c r="H186" s="551"/>
      <c r="I186" s="551"/>
      <c r="J186" s="551"/>
      <c r="K186" s="551"/>
      <c r="L186" s="551"/>
    </row>
    <row r="187" spans="2:12" x14ac:dyDescent="0.25">
      <c r="B187" s="219" t="s">
        <v>91</v>
      </c>
      <c r="C187" s="392" t="s">
        <v>6</v>
      </c>
      <c r="D187" s="219"/>
      <c r="E187" s="316"/>
      <c r="F187" s="219"/>
      <c r="G187" s="154"/>
      <c r="H187" s="154"/>
      <c r="I187" s="154"/>
      <c r="J187" s="154"/>
      <c r="K187" s="154"/>
      <c r="L187" s="154"/>
    </row>
  </sheetData>
  <autoFilter ref="B10:B172" xr:uid="{00000000-0009-0000-0000-000005000000}"/>
  <mergeCells count="15">
    <mergeCell ref="B184:L184"/>
    <mergeCell ref="B1:L1"/>
    <mergeCell ref="B2:L2"/>
    <mergeCell ref="C6:C8"/>
    <mergeCell ref="D6:D8"/>
    <mergeCell ref="E6:F6"/>
    <mergeCell ref="G6:I6"/>
    <mergeCell ref="J6:K6"/>
    <mergeCell ref="E7:E8"/>
    <mergeCell ref="F7:F8"/>
    <mergeCell ref="G7:G8"/>
    <mergeCell ref="H7:I7"/>
    <mergeCell ref="J7:J8"/>
    <mergeCell ref="K7:K8"/>
    <mergeCell ref="L7:L8"/>
  </mergeCells>
  <hyperlinks>
    <hyperlink ref="C187" r:id="rId1" xr:uid="{00000000-0004-0000-05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81"/>
  <sheetViews>
    <sheetView zoomScale="80" zoomScaleNormal="80" workbookViewId="0">
      <pane ySplit="6" topLeftCell="A7" activePane="bottomLeft" state="frozen"/>
      <selection activeCell="J15" sqref="J15"/>
      <selection pane="bottomLeft" sqref="A1:P1"/>
    </sheetView>
  </sheetViews>
  <sheetFormatPr defaultColWidth="8.88671875" defaultRowHeight="13.2" x14ac:dyDescent="0.25"/>
  <cols>
    <col min="1" max="1" width="18.109375" style="23" customWidth="1"/>
    <col min="2" max="2" width="19.109375" style="23" customWidth="1"/>
    <col min="3" max="3" width="17.109375" style="23" customWidth="1"/>
    <col min="4" max="4" width="25.109375" style="23" customWidth="1"/>
    <col min="5" max="5" width="12.88671875" style="23" customWidth="1"/>
    <col min="6" max="7" width="11.44140625" style="23" bestFit="1" customWidth="1"/>
    <col min="8" max="8" width="17" style="23" customWidth="1"/>
    <col min="9" max="9" width="13.88671875" style="23" bestFit="1" customWidth="1"/>
    <col min="10" max="10" width="16.88671875" style="23" customWidth="1"/>
    <col min="11" max="11" width="13" style="23" customWidth="1"/>
    <col min="12" max="12" width="23.88671875" style="23" bestFit="1" customWidth="1"/>
    <col min="13" max="13" width="11.44140625" style="23" bestFit="1" customWidth="1"/>
    <col min="14" max="14" width="16" style="23" customWidth="1"/>
    <col min="15" max="15" width="12.109375" style="23" bestFit="1" customWidth="1"/>
    <col min="16" max="16" width="14.109375" style="23" customWidth="1"/>
    <col min="17" max="16384" width="8.88671875" style="23"/>
  </cols>
  <sheetData>
    <row r="1" spans="1:16" ht="19.2" x14ac:dyDescent="0.25">
      <c r="A1" s="632" t="s">
        <v>1420</v>
      </c>
      <c r="B1" s="632"/>
      <c r="C1" s="632"/>
      <c r="D1" s="632"/>
      <c r="E1" s="632"/>
      <c r="F1" s="632"/>
      <c r="G1" s="632"/>
      <c r="H1" s="632"/>
      <c r="I1" s="632"/>
      <c r="J1" s="632"/>
      <c r="K1" s="632"/>
      <c r="L1" s="632"/>
      <c r="M1" s="632"/>
      <c r="N1" s="632"/>
      <c r="O1" s="632"/>
      <c r="P1" s="632"/>
    </row>
    <row r="2" spans="1:16" ht="17.399999999999999" x14ac:dyDescent="0.25">
      <c r="A2" s="632">
        <v>2020</v>
      </c>
      <c r="B2" s="632"/>
      <c r="C2" s="632"/>
      <c r="D2" s="632"/>
      <c r="E2" s="632"/>
      <c r="F2" s="632"/>
      <c r="G2" s="632"/>
      <c r="H2" s="632"/>
      <c r="I2" s="632"/>
      <c r="J2" s="632"/>
      <c r="K2" s="632"/>
      <c r="L2" s="632"/>
      <c r="M2" s="632"/>
      <c r="N2" s="632"/>
      <c r="O2" s="632"/>
      <c r="P2" s="632"/>
    </row>
    <row r="3" spans="1:16" x14ac:dyDescent="0.25">
      <c r="A3" s="555"/>
      <c r="B3" s="555"/>
      <c r="C3" s="555"/>
    </row>
    <row r="4" spans="1:16" x14ac:dyDescent="0.25">
      <c r="A4" s="562"/>
      <c r="B4" s="640" t="s">
        <v>1419</v>
      </c>
      <c r="C4" s="655" t="s">
        <v>466</v>
      </c>
      <c r="D4" s="649" t="s">
        <v>467</v>
      </c>
      <c r="E4" s="657" t="s">
        <v>468</v>
      </c>
      <c r="F4" s="658"/>
      <c r="G4" s="658"/>
      <c r="H4" s="658"/>
      <c r="I4" s="658"/>
      <c r="J4" s="659"/>
      <c r="K4" s="660" t="s">
        <v>1424</v>
      </c>
      <c r="L4" s="661"/>
      <c r="M4" s="661"/>
      <c r="N4" s="661"/>
      <c r="O4" s="661"/>
      <c r="P4" s="662"/>
    </row>
    <row r="5" spans="1:16" ht="66" customHeight="1" x14ac:dyDescent="0.25">
      <c r="A5" s="563" t="s">
        <v>53</v>
      </c>
      <c r="B5" s="641"/>
      <c r="C5" s="656"/>
      <c r="D5" s="650"/>
      <c r="E5" s="550" t="s">
        <v>469</v>
      </c>
      <c r="F5" s="132" t="s">
        <v>470</v>
      </c>
      <c r="G5" s="132" t="s">
        <v>471</v>
      </c>
      <c r="H5" s="132" t="s">
        <v>472</v>
      </c>
      <c r="I5" s="132" t="s">
        <v>473</v>
      </c>
      <c r="J5" s="133" t="s">
        <v>474</v>
      </c>
      <c r="K5" s="132" t="s">
        <v>1421</v>
      </c>
      <c r="L5" s="132" t="s">
        <v>475</v>
      </c>
      <c r="M5" s="132" t="s">
        <v>476</v>
      </c>
      <c r="N5" s="132" t="s">
        <v>477</v>
      </c>
      <c r="O5" s="132" t="s">
        <v>483</v>
      </c>
      <c r="P5" s="133" t="s">
        <v>484</v>
      </c>
    </row>
    <row r="6" spans="1:16" ht="11.4" customHeight="1" x14ac:dyDescent="0.25">
      <c r="A6" s="564"/>
      <c r="B6" s="92" t="s">
        <v>39</v>
      </c>
      <c r="C6" s="93" t="s">
        <v>40</v>
      </c>
      <c r="D6" s="94" t="s">
        <v>41</v>
      </c>
      <c r="E6" s="92" t="s">
        <v>42</v>
      </c>
      <c r="F6" s="93" t="s">
        <v>43</v>
      </c>
      <c r="G6" s="93" t="s">
        <v>44</v>
      </c>
      <c r="H6" s="93" t="s">
        <v>45</v>
      </c>
      <c r="I6" s="93" t="s">
        <v>46</v>
      </c>
      <c r="J6" s="94" t="s">
        <v>47</v>
      </c>
      <c r="K6" s="93" t="s">
        <v>48</v>
      </c>
      <c r="L6" s="93" t="s">
        <v>49</v>
      </c>
      <c r="M6" s="93" t="s">
        <v>50</v>
      </c>
      <c r="N6" s="93" t="s">
        <v>51</v>
      </c>
      <c r="O6" s="93" t="s">
        <v>52</v>
      </c>
      <c r="P6" s="94" t="s">
        <v>478</v>
      </c>
    </row>
    <row r="7" spans="1:16" ht="11.4" customHeight="1" x14ac:dyDescent="0.25">
      <c r="A7" s="561" t="s">
        <v>53</v>
      </c>
      <c r="B7" s="92"/>
      <c r="C7" s="93"/>
      <c r="D7" s="93"/>
      <c r="E7" s="92"/>
      <c r="F7" s="93"/>
      <c r="G7" s="93"/>
      <c r="H7" s="93"/>
      <c r="I7" s="93"/>
      <c r="J7" s="93"/>
      <c r="K7" s="93"/>
      <c r="L7" s="93"/>
      <c r="M7" s="93"/>
      <c r="N7" s="93"/>
      <c r="O7" s="93"/>
      <c r="P7" s="94"/>
    </row>
    <row r="8" spans="1:16" x14ac:dyDescent="0.25">
      <c r="A8" s="301" t="s">
        <v>309</v>
      </c>
      <c r="B8" s="570" t="s">
        <v>1275</v>
      </c>
      <c r="C8" s="443"/>
      <c r="D8" s="443"/>
      <c r="E8" s="296"/>
      <c r="F8" s="443"/>
      <c r="G8" s="443"/>
      <c r="H8" s="443"/>
      <c r="I8" s="443"/>
      <c r="J8" s="443"/>
      <c r="K8" s="296"/>
      <c r="L8" s="443"/>
      <c r="M8" s="443"/>
      <c r="N8" s="444"/>
      <c r="O8" s="445"/>
      <c r="P8" s="261"/>
    </row>
    <row r="9" spans="1:16" ht="136.80000000000001" x14ac:dyDescent="0.25">
      <c r="A9" s="301" t="s">
        <v>54</v>
      </c>
      <c r="B9" s="296" t="s">
        <v>632</v>
      </c>
      <c r="C9" s="443" t="s">
        <v>514</v>
      </c>
      <c r="D9" s="443" t="s">
        <v>1164</v>
      </c>
      <c r="E9" s="296" t="s">
        <v>895</v>
      </c>
      <c r="F9" s="443" t="s">
        <v>123</v>
      </c>
      <c r="G9" s="443" t="s">
        <v>123</v>
      </c>
      <c r="H9" s="443" t="s">
        <v>900</v>
      </c>
      <c r="I9" s="443" t="s">
        <v>248</v>
      </c>
      <c r="J9" s="443" t="s">
        <v>123</v>
      </c>
      <c r="K9" s="296" t="s">
        <v>906</v>
      </c>
      <c r="L9" s="443" t="str">
        <f>"EUR 950/month ("&amp;TEXT(100*950*12/'Average wages'!B5,0)&amp;"% of AW)"</f>
        <v>EUR 950/month (23% of AW)</v>
      </c>
      <c r="M9" s="443" t="s">
        <v>95</v>
      </c>
      <c r="N9" s="444">
        <v>1</v>
      </c>
      <c r="O9" s="445" t="s">
        <v>95</v>
      </c>
      <c r="P9" s="261" t="s">
        <v>633</v>
      </c>
    </row>
    <row r="10" spans="1:16" ht="45.6" x14ac:dyDescent="0.25">
      <c r="A10" s="134" t="s">
        <v>240</v>
      </c>
      <c r="B10" s="135" t="s">
        <v>386</v>
      </c>
      <c r="C10" s="136" t="s">
        <v>514</v>
      </c>
      <c r="D10" s="136" t="s">
        <v>881</v>
      </c>
      <c r="E10" s="135" t="s">
        <v>895</v>
      </c>
      <c r="F10" s="136" t="s">
        <v>248</v>
      </c>
      <c r="G10" s="136" t="s">
        <v>123</v>
      </c>
      <c r="H10" s="136" t="s">
        <v>901</v>
      </c>
      <c r="I10" s="136" t="s">
        <v>248</v>
      </c>
      <c r="J10" s="136" t="s">
        <v>123</v>
      </c>
      <c r="K10" s="135" t="s">
        <v>95</v>
      </c>
      <c r="L10" s="136" t="str">
        <f>"EUR 1,013.64 ("&amp;TEXT(1013.64/'Average wages'!B6,"0%")&amp;" of AW)"</f>
        <v>EUR 1,013.64 (2% of AW)</v>
      </c>
      <c r="M10" s="136" t="s">
        <v>95</v>
      </c>
      <c r="N10" s="136" t="s">
        <v>95</v>
      </c>
      <c r="O10" s="149" t="s">
        <v>486</v>
      </c>
      <c r="P10" s="446" t="s">
        <v>486</v>
      </c>
    </row>
    <row r="11" spans="1:16" ht="68.400000000000006" x14ac:dyDescent="0.25">
      <c r="A11" s="134" t="s">
        <v>240</v>
      </c>
      <c r="B11" s="447" t="s">
        <v>506</v>
      </c>
      <c r="C11" s="448" t="s">
        <v>875</v>
      </c>
      <c r="D11" s="448" t="s">
        <v>882</v>
      </c>
      <c r="E11" s="447" t="s">
        <v>123</v>
      </c>
      <c r="F11" s="448" t="s">
        <v>123</v>
      </c>
      <c r="G11" s="448" t="s">
        <v>123</v>
      </c>
      <c r="H11" s="448" t="s">
        <v>123</v>
      </c>
      <c r="I11" s="448" t="s">
        <v>123</v>
      </c>
      <c r="J11" s="448" t="s">
        <v>123</v>
      </c>
      <c r="K11" s="447" t="s">
        <v>487</v>
      </c>
      <c r="L11" s="448" t="str">
        <f>"EUR 2613 ("&amp;TEXT(2613/'Average wages'!B6,"0%")&amp;" of AW)"</f>
        <v>EUR 2613 (5% of AW)</v>
      </c>
      <c r="M11" s="449" t="s">
        <v>95</v>
      </c>
      <c r="N11" s="450">
        <v>0.23699999999999999</v>
      </c>
      <c r="O11" s="451">
        <f>19699.44/'Average wages'!B6</f>
        <v>0.41281019805640268</v>
      </c>
      <c r="P11" s="452">
        <f>30726.84/'Average wages'!B6</f>
        <v>0.64389408562108352</v>
      </c>
    </row>
    <row r="12" spans="1:16" ht="45.6" x14ac:dyDescent="0.25">
      <c r="A12" s="134" t="s">
        <v>310</v>
      </c>
      <c r="B12" s="155" t="s">
        <v>1032</v>
      </c>
      <c r="C12" s="136" t="s">
        <v>387</v>
      </c>
      <c r="D12" s="136" t="s">
        <v>652</v>
      </c>
      <c r="E12" s="135" t="s">
        <v>123</v>
      </c>
      <c r="F12" s="136" t="s">
        <v>123</v>
      </c>
      <c r="G12" s="136" t="s">
        <v>123</v>
      </c>
      <c r="H12" s="136" t="s">
        <v>123</v>
      </c>
      <c r="I12" s="136" t="s">
        <v>123</v>
      </c>
      <c r="J12" s="136" t="str">
        <f>"Yes, "&amp;TEXT(3000/'Average wages'!B7,"0%"&amp;" of AW")</f>
        <v>Yes, 5% of AW</v>
      </c>
      <c r="K12" s="135" t="s">
        <v>507</v>
      </c>
      <c r="L12" s="136" t="str">
        <f>"CAD 1,381 ("&amp;TEXT(1381/'Average wages'!B7,"0%")&amp;" of AW) for singles;
CAD2379 ("&amp;TEXT(2379/'Average wages'!B7,"0%")&amp;" of AW) for couples and lone parents"</f>
        <v>CAD 1,381 (2% of AW) for singles;
CAD2379 (4% of AW) for couples and lone parents</v>
      </c>
      <c r="M12" s="72">
        <v>0.26</v>
      </c>
      <c r="N12" s="72">
        <v>0.12</v>
      </c>
      <c r="O12" s="149">
        <f>13064/'Average wages'!B7</f>
        <v>0.22802638417845231</v>
      </c>
      <c r="P12" s="453">
        <f>24573/'Average wages'!B7</f>
        <v>0.42891092608826614</v>
      </c>
    </row>
    <row r="13" spans="1:16" ht="57" x14ac:dyDescent="0.25">
      <c r="A13" s="134" t="s">
        <v>310</v>
      </c>
      <c r="B13" s="571" t="s">
        <v>488</v>
      </c>
      <c r="C13" s="139" t="s">
        <v>489</v>
      </c>
      <c r="D13" s="139" t="s">
        <v>883</v>
      </c>
      <c r="E13" s="138" t="s">
        <v>490</v>
      </c>
      <c r="F13" s="139" t="s">
        <v>123</v>
      </c>
      <c r="G13" s="139" t="s">
        <v>123</v>
      </c>
      <c r="H13" s="139" t="s">
        <v>123</v>
      </c>
      <c r="I13" s="139" t="s">
        <v>248</v>
      </c>
      <c r="J13" s="139" t="s">
        <v>123</v>
      </c>
      <c r="K13" s="138" t="s">
        <v>95</v>
      </c>
      <c r="L13" s="139" t="str">
        <f>"CAD 253 ("&amp;TEXT(253/'Average wages'!B7,"0.0%")&amp;" of AW)"</f>
        <v>CAD 253 (0.4% of AW)</v>
      </c>
      <c r="M13" s="150" t="s">
        <v>95</v>
      </c>
      <c r="N13" s="150" t="s">
        <v>95</v>
      </c>
      <c r="O13" s="150" t="s">
        <v>95</v>
      </c>
      <c r="P13" s="151" t="s">
        <v>95</v>
      </c>
    </row>
    <row r="14" spans="1:16" ht="22.8" x14ac:dyDescent="0.25">
      <c r="A14" s="134" t="s">
        <v>56</v>
      </c>
      <c r="B14" s="135" t="s">
        <v>1447</v>
      </c>
      <c r="C14" s="136"/>
      <c r="D14" s="136"/>
      <c r="E14" s="135"/>
      <c r="F14" s="136"/>
      <c r="G14" s="136"/>
      <c r="H14" s="136"/>
      <c r="I14" s="136"/>
      <c r="J14" s="136"/>
      <c r="K14" s="135"/>
      <c r="L14" s="136"/>
      <c r="M14" s="148"/>
      <c r="N14" s="148"/>
      <c r="O14" s="149"/>
      <c r="P14" s="446"/>
    </row>
    <row r="15" spans="1:16" x14ac:dyDescent="0.25">
      <c r="A15" s="454" t="s">
        <v>58</v>
      </c>
      <c r="B15" s="155" t="s">
        <v>1275</v>
      </c>
      <c r="C15" s="136"/>
      <c r="D15" s="136"/>
      <c r="E15" s="135"/>
      <c r="F15" s="136"/>
      <c r="G15" s="136"/>
      <c r="H15" s="136"/>
      <c r="I15" s="136"/>
      <c r="J15" s="136"/>
      <c r="K15" s="135"/>
      <c r="L15" s="136"/>
      <c r="M15" s="136"/>
      <c r="N15" s="148"/>
      <c r="O15" s="149"/>
      <c r="P15" s="455"/>
    </row>
    <row r="16" spans="1:16" s="460" customFormat="1" ht="45.6" x14ac:dyDescent="0.25">
      <c r="A16" s="97" t="s">
        <v>59</v>
      </c>
      <c r="B16" s="296" t="s">
        <v>1364</v>
      </c>
      <c r="C16" s="443" t="s">
        <v>878</v>
      </c>
      <c r="D16" s="456" t="s">
        <v>887</v>
      </c>
      <c r="E16" s="457" t="s">
        <v>649</v>
      </c>
      <c r="F16" s="443" t="s">
        <v>123</v>
      </c>
      <c r="G16" s="443" t="s">
        <v>248</v>
      </c>
      <c r="H16" s="443" t="s">
        <v>123</v>
      </c>
      <c r="I16" s="443" t="s">
        <v>248</v>
      </c>
      <c r="J16" s="443" t="s">
        <v>123</v>
      </c>
      <c r="K16" s="457" t="s">
        <v>505</v>
      </c>
      <c r="L16" s="443" t="s">
        <v>1365</v>
      </c>
      <c r="M16" s="456" t="s">
        <v>95</v>
      </c>
      <c r="N16" s="456" t="s">
        <v>95</v>
      </c>
      <c r="O16" s="458" t="s">
        <v>95</v>
      </c>
      <c r="P16" s="459" t="s">
        <v>95</v>
      </c>
    </row>
    <row r="17" spans="1:16" ht="79.8" x14ac:dyDescent="0.25">
      <c r="A17" s="454" t="s">
        <v>60</v>
      </c>
      <c r="B17" s="135" t="s">
        <v>657</v>
      </c>
      <c r="C17" s="136" t="s">
        <v>876</v>
      </c>
      <c r="D17" s="136" t="s">
        <v>884</v>
      </c>
      <c r="E17" s="135" t="s">
        <v>123</v>
      </c>
      <c r="F17" s="136" t="s">
        <v>123</v>
      </c>
      <c r="G17" s="136" t="s">
        <v>248</v>
      </c>
      <c r="H17" s="136" t="s">
        <v>491</v>
      </c>
      <c r="I17" s="136" t="s">
        <v>248</v>
      </c>
      <c r="J17" s="136" t="s">
        <v>123</v>
      </c>
      <c r="K17" s="394" t="s">
        <v>503</v>
      </c>
      <c r="L17" s="461" t="str">
        <f>"Previous unemployment benefit reduced by 50% of gross earnings exceeding EUR 300 per month ("&amp;TEXT(300*12/'Average wages'!B12,"0%")&amp;" of AW); total income (benefit + earnings) cannot exceed 100% of reference earnings."</f>
        <v>Previous unemployment benefit reduced by 50% of gross earnings exceeding EUR 300 per month (8% of AW); total income (benefit + earnings) cannot exceed 100% of reference earnings.</v>
      </c>
      <c r="M17" s="461" t="s">
        <v>95</v>
      </c>
      <c r="N17" s="462" t="s">
        <v>95</v>
      </c>
      <c r="O17" s="140" t="s">
        <v>95</v>
      </c>
      <c r="P17" s="455" t="s">
        <v>95</v>
      </c>
    </row>
    <row r="18" spans="1:16" ht="34.200000000000003" x14ac:dyDescent="0.25">
      <c r="A18" s="463" t="s">
        <v>60</v>
      </c>
      <c r="B18" s="138" t="s">
        <v>1366</v>
      </c>
      <c r="C18" s="139" t="s">
        <v>1367</v>
      </c>
      <c r="D18" s="139" t="s">
        <v>493</v>
      </c>
      <c r="E18" s="138" t="s">
        <v>123</v>
      </c>
      <c r="F18" s="139" t="s">
        <v>123</v>
      </c>
      <c r="G18" s="139" t="s">
        <v>123</v>
      </c>
      <c r="H18" s="139" t="s">
        <v>123</v>
      </c>
      <c r="I18" s="139" t="s">
        <v>123</v>
      </c>
      <c r="J18" s="139" t="str">
        <f>"Yes, "&amp;TEXT(2500/'Average wages'!B12,"0%")&amp;" of AW"</f>
        <v>Yes, 5% of AW</v>
      </c>
      <c r="K18" s="464" t="s">
        <v>503</v>
      </c>
      <c r="L18" s="465" t="str">
        <f>"EUR 3570 per year ("&amp;TEXT(3570/'Average wages'!B12,"0%")&amp;" of AW)"</f>
        <v>EUR 3570 per year (8% of AW)</v>
      </c>
      <c r="M18" s="465" t="s">
        <v>1368</v>
      </c>
      <c r="N18" s="466">
        <v>4.4999999999999998E-2</v>
      </c>
      <c r="O18" s="140">
        <f>14000/'Average wages'!B12</f>
        <v>0.30621983536533182</v>
      </c>
      <c r="P18" s="140">
        <f>3570/0.045/'Average wages'!B12</f>
        <v>1.7352457337368807</v>
      </c>
    </row>
    <row r="19" spans="1:16" ht="22.8" x14ac:dyDescent="0.25">
      <c r="A19" s="463" t="s">
        <v>60</v>
      </c>
      <c r="B19" s="138" t="s">
        <v>1369</v>
      </c>
      <c r="C19" s="139" t="s">
        <v>1370</v>
      </c>
      <c r="D19" s="467" t="s">
        <v>493</v>
      </c>
      <c r="E19" s="138" t="s">
        <v>123</v>
      </c>
      <c r="F19" s="139" t="s">
        <v>123</v>
      </c>
      <c r="G19" s="139" t="s">
        <v>123</v>
      </c>
      <c r="H19" s="139" t="s">
        <v>123</v>
      </c>
      <c r="I19" s="139" t="s">
        <v>123</v>
      </c>
      <c r="J19" s="139" t="str">
        <f>"Yes, "&amp;TEXT(2500/'Average wages'!B12,"0%")&amp;" of AW"</f>
        <v>Yes, 5% of AW</v>
      </c>
      <c r="K19" s="464" t="s">
        <v>503</v>
      </c>
      <c r="L19" s="139" t="str">
        <f>"EUR 1,770 per year ("&amp;TEXT(1770/'Average wages'!B12,"0%")&amp;" of AW)"</f>
        <v>EUR 1,770 per year (4% of AW)</v>
      </c>
      <c r="M19" s="468">
        <v>0.125</v>
      </c>
      <c r="N19" s="309">
        <v>1.84E-2</v>
      </c>
      <c r="O19" s="140">
        <f>33000/'Average wages'!B12</f>
        <v>0.7218038976468536</v>
      </c>
      <c r="P19" s="469">
        <f>130000/'Average wages'!B12</f>
        <v>2.8434698998209385</v>
      </c>
    </row>
    <row r="20" spans="1:16" ht="89.1" customHeight="1" x14ac:dyDescent="0.25">
      <c r="A20" s="454" t="s">
        <v>61</v>
      </c>
      <c r="B20" s="135" t="s">
        <v>873</v>
      </c>
      <c r="C20" s="136" t="s">
        <v>489</v>
      </c>
      <c r="D20" s="136" t="s">
        <v>882</v>
      </c>
      <c r="E20" s="135" t="s">
        <v>123</v>
      </c>
      <c r="F20" s="136" t="s">
        <v>123</v>
      </c>
      <c r="G20" s="136" t="s">
        <v>248</v>
      </c>
      <c r="H20" s="136" t="s">
        <v>515</v>
      </c>
      <c r="I20" s="136" t="s">
        <v>123</v>
      </c>
      <c r="J20" s="136" t="s">
        <v>123</v>
      </c>
      <c r="K20" s="135" t="s">
        <v>505</v>
      </c>
      <c r="L20" s="136" t="str">
        <f>"EUR 1,925.54 for single ("&amp;TEXT(1925.54/'Average wages'!B13,"0%")&amp;" of AW)"</f>
        <v>EUR 1,925.54 for single (5% of AW)</v>
      </c>
      <c r="M20" s="136" t="s">
        <v>95</v>
      </c>
      <c r="N20" s="148">
        <f>1-0.61</f>
        <v>0.39</v>
      </c>
      <c r="O20" s="149">
        <f>7500/'Average wages'!$B$13</f>
        <v>0.19639708288072744</v>
      </c>
      <c r="P20" s="453">
        <f>27500/'Average wages'!$B$13</f>
        <v>0.7201226372293339</v>
      </c>
    </row>
    <row r="21" spans="1:16" ht="79.8" x14ac:dyDescent="0.25">
      <c r="A21" s="301" t="s">
        <v>62</v>
      </c>
      <c r="B21" s="296" t="s">
        <v>495</v>
      </c>
      <c r="C21" s="443" t="s">
        <v>877</v>
      </c>
      <c r="D21" s="443" t="s">
        <v>882</v>
      </c>
      <c r="E21" s="296" t="s">
        <v>123</v>
      </c>
      <c r="F21" s="443" t="s">
        <v>123</v>
      </c>
      <c r="G21" s="443" t="s">
        <v>123</v>
      </c>
      <c r="H21" s="443" t="s">
        <v>123</v>
      </c>
      <c r="I21" s="443" t="s">
        <v>123</v>
      </c>
      <c r="J21" s="443" t="s">
        <v>268</v>
      </c>
      <c r="K21" s="296" t="s">
        <v>503</v>
      </c>
      <c r="L21" s="443" t="str">
        <f>"Only pension contributions of 3.6% up to EUR 5400 ("&amp;TEXT(100*5400/'Average wages'!B14,0)&amp;"% of AW) gross income per year, general contributions are phased in between EUR 5400 and EUR 15600 ("&amp;TEXT(100*15600/'Average wages'!B14,0)&amp;"% of AW), so-called 'midi job'"</f>
        <v>Only pension contributions of 3.6% up to EUR 5400 (10% of AW) gross income per year, general contributions are phased in between EUR 5400 and EUR 15600 (30% of AW), so-called 'midi job'</v>
      </c>
      <c r="M21" s="443" t="s">
        <v>95</v>
      </c>
      <c r="N21" s="443" t="s">
        <v>1181</v>
      </c>
      <c r="O21" s="445">
        <f>5401/'Average wages'!B14</f>
        <v>0.10365839627730933</v>
      </c>
      <c r="P21" s="470">
        <f>15601/'Average wages'!B14</f>
        <v>0.29942133684915806</v>
      </c>
    </row>
    <row r="22" spans="1:16" ht="34.200000000000003" x14ac:dyDescent="0.25">
      <c r="A22" s="134" t="s">
        <v>63</v>
      </c>
      <c r="B22" s="135" t="s">
        <v>1371</v>
      </c>
      <c r="C22" s="136" t="s">
        <v>878</v>
      </c>
      <c r="D22" s="461" t="s">
        <v>887</v>
      </c>
      <c r="E22" s="135" t="s">
        <v>649</v>
      </c>
      <c r="F22" s="136" t="s">
        <v>123</v>
      </c>
      <c r="G22" s="136" t="s">
        <v>248</v>
      </c>
      <c r="H22" s="136" t="s">
        <v>123</v>
      </c>
      <c r="I22" s="136" t="s">
        <v>248</v>
      </c>
      <c r="J22" s="136" t="s">
        <v>123</v>
      </c>
      <c r="K22" s="394" t="s">
        <v>95</v>
      </c>
      <c r="L22" s="461" t="s">
        <v>1372</v>
      </c>
      <c r="M22" s="461" t="s">
        <v>95</v>
      </c>
      <c r="N22" s="461" t="s">
        <v>95</v>
      </c>
      <c r="O22" s="498" t="s">
        <v>95</v>
      </c>
      <c r="P22" s="500" t="s">
        <v>95</v>
      </c>
    </row>
    <row r="23" spans="1:16" ht="34.200000000000003" x14ac:dyDescent="0.25">
      <c r="A23" s="501" t="s">
        <v>63</v>
      </c>
      <c r="B23" s="447" t="s">
        <v>1373</v>
      </c>
      <c r="C23" s="448" t="s">
        <v>1374</v>
      </c>
      <c r="D23" s="474" t="s">
        <v>1375</v>
      </c>
      <c r="E23" s="447" t="s">
        <v>649</v>
      </c>
      <c r="F23" s="448" t="s">
        <v>123</v>
      </c>
      <c r="G23" s="448" t="s">
        <v>248</v>
      </c>
      <c r="H23" s="448" t="s">
        <v>123</v>
      </c>
      <c r="I23" s="448" t="s">
        <v>248</v>
      </c>
      <c r="J23" s="448" t="s">
        <v>123</v>
      </c>
      <c r="K23" s="473" t="s">
        <v>95</v>
      </c>
      <c r="L23" s="474" t="s">
        <v>1376</v>
      </c>
      <c r="M23" s="474" t="s">
        <v>95</v>
      </c>
      <c r="N23" s="474" t="s">
        <v>95</v>
      </c>
      <c r="O23" s="502" t="s">
        <v>95</v>
      </c>
      <c r="P23" s="503" t="s">
        <v>95</v>
      </c>
    </row>
    <row r="24" spans="1:16" x14ac:dyDescent="0.25">
      <c r="A24" s="142" t="s">
        <v>64</v>
      </c>
      <c r="B24" s="260" t="s">
        <v>1275</v>
      </c>
      <c r="C24" s="139"/>
      <c r="D24" s="465"/>
      <c r="E24" s="138"/>
      <c r="F24" s="139"/>
      <c r="G24" s="139"/>
      <c r="H24" s="139"/>
      <c r="I24" s="139"/>
      <c r="J24" s="139"/>
      <c r="K24" s="464"/>
      <c r="L24" s="465"/>
      <c r="M24" s="465"/>
      <c r="N24" s="465"/>
      <c r="O24" s="504"/>
      <c r="P24" s="505"/>
    </row>
    <row r="25" spans="1:16" x14ac:dyDescent="0.25">
      <c r="A25" s="134" t="s">
        <v>65</v>
      </c>
      <c r="B25" s="260" t="s">
        <v>1275</v>
      </c>
      <c r="C25" s="136"/>
      <c r="D25" s="136"/>
      <c r="E25" s="135"/>
      <c r="F25" s="136"/>
      <c r="G25" s="136"/>
      <c r="H25" s="136"/>
      <c r="I25" s="136"/>
      <c r="J25" s="136"/>
      <c r="K25" s="135"/>
      <c r="L25" s="136"/>
      <c r="M25" s="136"/>
      <c r="N25" s="139"/>
      <c r="O25" s="149"/>
      <c r="P25" s="152"/>
    </row>
    <row r="26" spans="1:16" ht="79.8" x14ac:dyDescent="0.25">
      <c r="A26" s="454" t="s">
        <v>1432</v>
      </c>
      <c r="B26" s="155" t="s">
        <v>670</v>
      </c>
      <c r="C26" s="136" t="s">
        <v>489</v>
      </c>
      <c r="D26" s="136" t="s">
        <v>886</v>
      </c>
      <c r="E26" s="135" t="s">
        <v>123</v>
      </c>
      <c r="F26" s="136" t="s">
        <v>248</v>
      </c>
      <c r="G26" s="136" t="s">
        <v>248</v>
      </c>
      <c r="H26" s="136" t="s">
        <v>902</v>
      </c>
      <c r="I26" s="136" t="s">
        <v>123</v>
      </c>
      <c r="J26" s="136" t="s">
        <v>123</v>
      </c>
      <c r="K26" s="135" t="s">
        <v>496</v>
      </c>
      <c r="L26" s="136" t="str">
        <f>"60% of the difference between the weekly family income and a weekly income limit for the family size; income limit varies with family size; minimum supplement: EUR 20 per week ("&amp;TEXT(20*52*100/'Average wages'!B18,0)&amp;"% of AW)"</f>
        <v>60% of the difference between the weekly family income and a weekly income limit for the family size; income limit varies with family size; minimum supplement: EUR 20 per week (2% of AW)</v>
      </c>
      <c r="M26" s="461" t="s">
        <v>95</v>
      </c>
      <c r="N26" s="462">
        <v>0.6</v>
      </c>
      <c r="O26" s="149" t="s">
        <v>508</v>
      </c>
      <c r="P26" s="149" t="str">
        <f>TEXT(34000*100/'Average wages'!B18,0)&amp;"% of AW for a couple with two children."</f>
        <v>73% of AW for a couple with two children.</v>
      </c>
    </row>
    <row r="27" spans="1:16" ht="125.4" x14ac:dyDescent="0.25">
      <c r="A27" s="471" t="s">
        <v>66</v>
      </c>
      <c r="B27" s="472" t="s">
        <v>671</v>
      </c>
      <c r="C27" s="448" t="s">
        <v>514</v>
      </c>
      <c r="D27" s="448" t="s">
        <v>885</v>
      </c>
      <c r="E27" s="447" t="s">
        <v>248</v>
      </c>
      <c r="F27" s="448" t="s">
        <v>248</v>
      </c>
      <c r="G27" s="448" t="s">
        <v>248</v>
      </c>
      <c r="H27" s="448" t="s">
        <v>123</v>
      </c>
      <c r="I27" s="448" t="s">
        <v>248</v>
      </c>
      <c r="J27" s="448" t="s">
        <v>268</v>
      </c>
      <c r="K27" s="473" t="s">
        <v>95</v>
      </c>
      <c r="L27" s="448" t="str">
        <f>"EUR 36 ("&amp;TEXT(36*52*100/'Average wages'!B18,0)&amp;"% of AW) per child under 12 per week for the first year;
EUR 18 ("&amp;TEXT(18*52*100/'Average wages'!B18,0)&amp;"% of AW) per child under 12 per week for the second year; EUR 40 ("&amp;TEXT(40*52*100/'Average wages'!B18,0)&amp;"% of AW) per child over 12 per week for the first year;
EUR 20 ("&amp;TEXT(20*52*100/'Average wages'!B18,0)&amp;"% of AW) per child over 12 per week for the second year"</f>
        <v>EUR 36 (4% of AW) per child under 12 per week for the first year;
EUR 18 (2% of AW) per child under 12 per week for the second year; EUR 40 (4% of AW) per child over 12 per week for the first year;
EUR 20 (2% of AW) per child over 12 per week for the second year</v>
      </c>
      <c r="M27" s="474" t="s">
        <v>95</v>
      </c>
      <c r="N27" s="449" t="s">
        <v>95</v>
      </c>
      <c r="O27" s="475" t="s">
        <v>95</v>
      </c>
      <c r="P27" s="476" t="s">
        <v>95</v>
      </c>
    </row>
    <row r="28" spans="1:16" ht="44.25" customHeight="1" x14ac:dyDescent="0.25">
      <c r="A28" s="97" t="s">
        <v>314</v>
      </c>
      <c r="B28" s="296" t="s">
        <v>425</v>
      </c>
      <c r="C28" s="443" t="s">
        <v>387</v>
      </c>
      <c r="D28" s="443" t="s">
        <v>886</v>
      </c>
      <c r="E28" s="296" t="s">
        <v>123</v>
      </c>
      <c r="F28" s="443" t="s">
        <v>248</v>
      </c>
      <c r="G28" s="443" t="s">
        <v>248</v>
      </c>
      <c r="H28" s="443" t="s">
        <v>123</v>
      </c>
      <c r="I28" s="443" t="s">
        <v>123</v>
      </c>
      <c r="J28" s="443" t="s">
        <v>248</v>
      </c>
      <c r="K28" s="296" t="s">
        <v>509</v>
      </c>
      <c r="L28" s="201" t="str">
        <f>TEXT(330*12*(1+0.5+0.3)/'Average wages'!$B$19,"0.0%") &amp;" of AW"</f>
        <v>4.5% of AW</v>
      </c>
      <c r="M28" s="572">
        <v>0.161</v>
      </c>
      <c r="N28" s="572">
        <v>0.23</v>
      </c>
      <c r="O28" s="445">
        <f>15480/'Average wages'!B19</f>
        <v>9.8540579516223456E-2</v>
      </c>
      <c r="P28" s="470">
        <f>9570*12/'Average wages'!B19</f>
        <v>0.7310336015273321</v>
      </c>
    </row>
    <row r="29" spans="1:16" ht="68.400000000000006" x14ac:dyDescent="0.25">
      <c r="A29" s="454" t="s">
        <v>68</v>
      </c>
      <c r="B29" s="135" t="s">
        <v>930</v>
      </c>
      <c r="C29" s="136" t="s">
        <v>489</v>
      </c>
      <c r="D29" s="136" t="s">
        <v>931</v>
      </c>
      <c r="E29" s="135" t="s">
        <v>123</v>
      </c>
      <c r="F29" s="136" t="s">
        <v>123</v>
      </c>
      <c r="G29" s="136" t="s">
        <v>123</v>
      </c>
      <c r="H29" s="136" t="s">
        <v>123</v>
      </c>
      <c r="I29" s="136" t="s">
        <v>123</v>
      </c>
      <c r="J29" s="72">
        <v>0.29057920999999998</v>
      </c>
      <c r="K29" s="135" t="s">
        <v>932</v>
      </c>
      <c r="L29" s="196">
        <f>960/'[1]Average wages'!B20</f>
        <v>3.0654510194891797E-2</v>
      </c>
      <c r="M29" s="135" t="s">
        <v>1140</v>
      </c>
      <c r="N29" s="196">
        <v>0.48</v>
      </c>
      <c r="O29" s="196">
        <v>0.86854445000000002</v>
      </c>
      <c r="P29" s="477">
        <v>0.93560118999999997</v>
      </c>
    </row>
    <row r="30" spans="1:16" ht="70.349999999999994" customHeight="1" x14ac:dyDescent="0.25">
      <c r="A30" s="463" t="s">
        <v>68</v>
      </c>
      <c r="B30" s="138" t="s">
        <v>1134</v>
      </c>
      <c r="C30" s="139" t="s">
        <v>1135</v>
      </c>
      <c r="D30" s="139" t="str">
        <f>"Unemployment insurance recipients who take up employment with annual taxable income below EUR 8000 ("&amp;TEXT(100*8000/'[1]Average wages'!B20,0)&amp;"% of AW)"</f>
        <v>Unemployment insurance recipients who take up employment with annual taxable income below EUR 8000 (26% of AW)</v>
      </c>
      <c r="E30" s="138" t="s">
        <v>248</v>
      </c>
      <c r="F30" s="139" t="s">
        <v>123</v>
      </c>
      <c r="G30" s="139" t="s">
        <v>123</v>
      </c>
      <c r="H30" s="139" t="s">
        <v>123</v>
      </c>
      <c r="I30" s="139" t="s">
        <v>248</v>
      </c>
      <c r="J30" s="19" t="s">
        <v>95</v>
      </c>
      <c r="K30" s="138" t="s">
        <v>932</v>
      </c>
      <c r="L30" s="37" t="s">
        <v>1136</v>
      </c>
      <c r="M30" s="138" t="s">
        <v>95</v>
      </c>
      <c r="N30" s="37" t="s">
        <v>95</v>
      </c>
      <c r="O30" s="138" t="s">
        <v>95</v>
      </c>
      <c r="P30" s="506" t="s">
        <v>95</v>
      </c>
    </row>
    <row r="31" spans="1:16" ht="102.6" x14ac:dyDescent="0.25">
      <c r="A31" s="463" t="s">
        <v>68</v>
      </c>
      <c r="B31" s="138" t="s">
        <v>1137</v>
      </c>
      <c r="C31" s="139" t="s">
        <v>514</v>
      </c>
      <c r="D31" s="139" t="s">
        <v>933</v>
      </c>
      <c r="E31" s="138" t="s">
        <v>1138</v>
      </c>
      <c r="F31" s="139" t="s">
        <v>123</v>
      </c>
      <c r="G31" s="139" t="s">
        <v>123</v>
      </c>
      <c r="H31" s="139" t="s">
        <v>123</v>
      </c>
      <c r="I31" s="139" t="s">
        <v>248</v>
      </c>
      <c r="J31" s="139" t="s">
        <v>95</v>
      </c>
      <c r="K31" s="138" t="s">
        <v>934</v>
      </c>
      <c r="L31" s="447" t="s">
        <v>1139</v>
      </c>
      <c r="M31" s="447" t="s">
        <v>95</v>
      </c>
      <c r="N31" s="447" t="s">
        <v>95</v>
      </c>
      <c r="O31" s="447" t="s">
        <v>95</v>
      </c>
      <c r="P31" s="480" t="s">
        <v>95</v>
      </c>
    </row>
    <row r="32" spans="1:16" ht="79.8" x14ac:dyDescent="0.25">
      <c r="A32" s="134" t="s">
        <v>69</v>
      </c>
      <c r="B32" s="135" t="s">
        <v>925</v>
      </c>
      <c r="C32" s="136" t="s">
        <v>928</v>
      </c>
      <c r="D32" s="136" t="s">
        <v>926</v>
      </c>
      <c r="E32" s="135" t="s">
        <v>248</v>
      </c>
      <c r="F32" s="136" t="s">
        <v>123</v>
      </c>
      <c r="G32" s="136" t="s">
        <v>123</v>
      </c>
      <c r="H32" s="136" t="s">
        <v>903</v>
      </c>
      <c r="I32" s="136" t="s">
        <v>248</v>
      </c>
      <c r="J32" s="136" t="s">
        <v>123</v>
      </c>
      <c r="K32" s="135" t="s">
        <v>95</v>
      </c>
      <c r="L32" s="107" t="s">
        <v>927</v>
      </c>
      <c r="M32" s="107" t="s">
        <v>95</v>
      </c>
      <c r="N32" s="107" t="s">
        <v>95</v>
      </c>
      <c r="O32" s="478" t="s">
        <v>510</v>
      </c>
      <c r="P32" s="479" t="s">
        <v>510</v>
      </c>
    </row>
    <row r="33" spans="1:16" ht="57" x14ac:dyDescent="0.25">
      <c r="A33" s="463" t="s">
        <v>69</v>
      </c>
      <c r="B33" s="138" t="s">
        <v>918</v>
      </c>
      <c r="C33" s="139" t="s">
        <v>514</v>
      </c>
      <c r="D33" s="136" t="s">
        <v>919</v>
      </c>
      <c r="E33" s="138" t="s">
        <v>929</v>
      </c>
      <c r="F33" s="139" t="s">
        <v>123</v>
      </c>
      <c r="G33" s="139" t="s">
        <v>123</v>
      </c>
      <c r="H33" s="139" t="s">
        <v>920</v>
      </c>
      <c r="I33" s="139" t="s">
        <v>248</v>
      </c>
      <c r="J33" s="139" t="s">
        <v>921</v>
      </c>
      <c r="K33" s="138" t="s">
        <v>922</v>
      </c>
      <c r="L33" s="480" t="s">
        <v>923</v>
      </c>
      <c r="M33" s="480" t="s">
        <v>95</v>
      </c>
      <c r="N33" s="480" t="s">
        <v>95</v>
      </c>
      <c r="O33" s="481">
        <v>1E-3</v>
      </c>
      <c r="P33" s="479" t="s">
        <v>924</v>
      </c>
    </row>
    <row r="34" spans="1:16" ht="22.8" x14ac:dyDescent="0.25">
      <c r="A34" s="134" t="s">
        <v>70</v>
      </c>
      <c r="B34" s="260" t="s">
        <v>1447</v>
      </c>
      <c r="C34" s="136"/>
      <c r="D34" s="136"/>
      <c r="E34" s="135"/>
      <c r="F34" s="136"/>
      <c r="G34" s="136"/>
      <c r="H34" s="136"/>
      <c r="I34" s="136"/>
      <c r="J34" s="136"/>
      <c r="K34" s="135"/>
      <c r="L34" s="136"/>
      <c r="M34" s="136"/>
      <c r="N34" s="136"/>
      <c r="O34" s="137"/>
      <c r="P34" s="123"/>
    </row>
    <row r="35" spans="1:16" ht="22.8" x14ac:dyDescent="0.25">
      <c r="A35" s="573" t="s">
        <v>70</v>
      </c>
      <c r="B35" s="40" t="s">
        <v>1447</v>
      </c>
      <c r="C35" s="139"/>
      <c r="D35" s="139"/>
      <c r="E35" s="138"/>
      <c r="F35" s="139"/>
      <c r="G35" s="139"/>
      <c r="H35" s="139"/>
      <c r="I35" s="139"/>
      <c r="J35" s="139"/>
      <c r="K35" s="138"/>
      <c r="L35" s="139"/>
      <c r="M35" s="140"/>
      <c r="N35" s="140"/>
      <c r="O35" s="574"/>
      <c r="P35" s="197"/>
    </row>
    <row r="36" spans="1:16" ht="22.8" x14ac:dyDescent="0.25">
      <c r="A36" s="142" t="s">
        <v>70</v>
      </c>
      <c r="B36" s="230" t="s">
        <v>1447</v>
      </c>
      <c r="C36" s="139"/>
      <c r="D36" s="139"/>
      <c r="E36" s="138"/>
      <c r="F36" s="139"/>
      <c r="G36" s="139"/>
      <c r="H36" s="139"/>
      <c r="I36" s="139"/>
      <c r="J36" s="139"/>
      <c r="K36" s="138"/>
      <c r="L36" s="139"/>
      <c r="M36" s="140"/>
      <c r="N36" s="140"/>
      <c r="O36" s="575"/>
      <c r="P36" s="197"/>
    </row>
    <row r="37" spans="1:16" ht="45.6" x14ac:dyDescent="0.25">
      <c r="A37" s="482" t="s">
        <v>85</v>
      </c>
      <c r="B37" s="457" t="s">
        <v>650</v>
      </c>
      <c r="C37" s="136" t="s">
        <v>878</v>
      </c>
      <c r="D37" s="456" t="s">
        <v>887</v>
      </c>
      <c r="E37" s="457" t="s">
        <v>521</v>
      </c>
      <c r="F37" s="456" t="s">
        <v>123</v>
      </c>
      <c r="G37" s="456" t="s">
        <v>248</v>
      </c>
      <c r="H37" s="456" t="s">
        <v>123</v>
      </c>
      <c r="I37" s="456" t="s">
        <v>248</v>
      </c>
      <c r="J37" s="456" t="s">
        <v>123</v>
      </c>
      <c r="K37" s="457" t="s">
        <v>505</v>
      </c>
      <c r="L37" s="456" t="s">
        <v>907</v>
      </c>
      <c r="M37" s="456" t="s">
        <v>95</v>
      </c>
      <c r="N37" s="456" t="s">
        <v>95</v>
      </c>
      <c r="O37" s="458" t="s">
        <v>95</v>
      </c>
      <c r="P37" s="459" t="s">
        <v>95</v>
      </c>
    </row>
    <row r="38" spans="1:16" ht="68.400000000000006" x14ac:dyDescent="0.25">
      <c r="A38" s="482" t="s">
        <v>86</v>
      </c>
      <c r="B38" s="457" t="s">
        <v>1377</v>
      </c>
      <c r="C38" s="456" t="s">
        <v>499</v>
      </c>
      <c r="D38" s="456" t="s">
        <v>887</v>
      </c>
      <c r="E38" s="457" t="s">
        <v>895</v>
      </c>
      <c r="F38" s="456" t="s">
        <v>123</v>
      </c>
      <c r="G38" s="456" t="s">
        <v>248</v>
      </c>
      <c r="H38" s="456" t="s">
        <v>123</v>
      </c>
      <c r="I38" s="456" t="s">
        <v>248</v>
      </c>
      <c r="J38" s="456" t="s">
        <v>905</v>
      </c>
      <c r="K38" s="457" t="s">
        <v>505</v>
      </c>
      <c r="L38" s="456" t="s">
        <v>908</v>
      </c>
      <c r="M38" s="456" t="s">
        <v>95</v>
      </c>
      <c r="N38" s="456" t="s">
        <v>912</v>
      </c>
      <c r="O38" s="458" t="s">
        <v>95</v>
      </c>
      <c r="P38" s="459" t="s">
        <v>95</v>
      </c>
    </row>
    <row r="39" spans="1:16" x14ac:dyDescent="0.25">
      <c r="A39" s="482" t="s">
        <v>71</v>
      </c>
      <c r="B39" s="39" t="s">
        <v>1275</v>
      </c>
      <c r="C39" s="456"/>
      <c r="D39" s="456"/>
      <c r="E39" s="457"/>
      <c r="F39" s="456"/>
      <c r="G39" s="456"/>
      <c r="H39" s="456"/>
      <c r="I39" s="456"/>
      <c r="J39" s="456"/>
      <c r="K39" s="457"/>
      <c r="L39" s="456"/>
      <c r="M39" s="456"/>
      <c r="N39" s="456"/>
      <c r="O39" s="483"/>
      <c r="P39" s="484"/>
    </row>
    <row r="40" spans="1:16" ht="96.75" customHeight="1" x14ac:dyDescent="0.25">
      <c r="A40" s="485" t="s">
        <v>72</v>
      </c>
      <c r="B40" s="464" t="s">
        <v>706</v>
      </c>
      <c r="C40" s="465" t="s">
        <v>879</v>
      </c>
      <c r="D40" s="486" t="s">
        <v>888</v>
      </c>
      <c r="E40" s="465" t="s">
        <v>123</v>
      </c>
      <c r="F40" s="465" t="s">
        <v>899</v>
      </c>
      <c r="G40" s="465" t="s">
        <v>123</v>
      </c>
      <c r="H40" s="465" t="s">
        <v>123</v>
      </c>
      <c r="I40" s="465" t="s">
        <v>123</v>
      </c>
      <c r="J40" s="465" t="str">
        <f>"Yes, "&amp;TEXT(100*5072/'Average wages'!B26,0)&amp;"% of AW"</f>
        <v>Yes, 9% of AW</v>
      </c>
      <c r="K40" s="464" t="s">
        <v>494</v>
      </c>
      <c r="L40" s="465" t="str">
        <f>"EUR 2,881 ("&amp;TEXT(100*2881/'Average wages'!B26,0)&amp;"% of AW)"</f>
        <v>EUR 2,881 (5% of AW)</v>
      </c>
      <c r="M40" s="465" t="s">
        <v>95</v>
      </c>
      <c r="N40" s="465" t="s">
        <v>95</v>
      </c>
      <c r="O40" s="245" t="s">
        <v>95</v>
      </c>
      <c r="P40" s="239" t="str">
        <f>TEXT(100*30234/'Average wages'!B26,0)&amp;"% of AW"</f>
        <v>55% of AW</v>
      </c>
    </row>
    <row r="41" spans="1:16" ht="22.8" x14ac:dyDescent="0.25">
      <c r="A41" s="134" t="s">
        <v>187</v>
      </c>
      <c r="B41" s="135" t="s">
        <v>1447</v>
      </c>
      <c r="C41" s="136"/>
      <c r="D41" s="136"/>
      <c r="E41" s="135"/>
      <c r="F41" s="136"/>
      <c r="G41" s="136"/>
      <c r="H41" s="136"/>
      <c r="I41" s="136"/>
      <c r="J41" s="136"/>
      <c r="K41" s="135"/>
      <c r="L41" s="136"/>
      <c r="M41" s="136"/>
      <c r="N41" s="148"/>
      <c r="O41" s="149"/>
      <c r="P41" s="152"/>
    </row>
    <row r="42" spans="1:16" ht="22.8" x14ac:dyDescent="0.25">
      <c r="A42" s="142" t="s">
        <v>187</v>
      </c>
      <c r="B42" s="571" t="s">
        <v>1447</v>
      </c>
      <c r="C42" s="139"/>
      <c r="D42" s="139"/>
      <c r="E42" s="138"/>
      <c r="F42" s="139"/>
      <c r="G42" s="139"/>
      <c r="H42" s="139"/>
      <c r="I42" s="139"/>
      <c r="J42" s="139"/>
      <c r="K42" s="138"/>
      <c r="L42" s="139"/>
      <c r="M42" s="139"/>
      <c r="N42" s="19"/>
      <c r="O42" s="150"/>
      <c r="P42" s="151"/>
    </row>
    <row r="43" spans="1:16" ht="22.8" x14ac:dyDescent="0.25">
      <c r="A43" s="142" t="s">
        <v>187</v>
      </c>
      <c r="B43" s="571" t="s">
        <v>1447</v>
      </c>
      <c r="C43" s="139"/>
      <c r="D43" s="139"/>
      <c r="E43" s="138"/>
      <c r="F43" s="139"/>
      <c r="G43" s="139"/>
      <c r="H43" s="139"/>
      <c r="I43" s="139"/>
      <c r="J43" s="139"/>
      <c r="K43" s="138"/>
      <c r="L43" s="139"/>
      <c r="M43" s="139"/>
      <c r="N43" s="576"/>
      <c r="O43" s="140"/>
      <c r="P43" s="469"/>
    </row>
    <row r="44" spans="1:16" ht="34.200000000000003" x14ac:dyDescent="0.25">
      <c r="A44" s="301" t="s">
        <v>73</v>
      </c>
      <c r="B44" s="296" t="s">
        <v>717</v>
      </c>
      <c r="C44" s="443" t="s">
        <v>489</v>
      </c>
      <c r="D44" s="443" t="s">
        <v>889</v>
      </c>
      <c r="E44" s="296" t="s">
        <v>123</v>
      </c>
      <c r="F44" s="443" t="s">
        <v>248</v>
      </c>
      <c r="G44" s="443" t="s">
        <v>123</v>
      </c>
      <c r="H44" s="443" t="s">
        <v>901</v>
      </c>
      <c r="I44" s="443" t="s">
        <v>123</v>
      </c>
      <c r="J44" s="443" t="s">
        <v>123</v>
      </c>
      <c r="K44" s="296" t="s">
        <v>497</v>
      </c>
      <c r="L44" s="443" t="str">
        <f>"NOK 224,681 ("&amp;TEXT(100*224681/'Average wages'!B28,0)&amp;"% of AW)"</f>
        <v>NOK 224,681 (36% of AW)</v>
      </c>
      <c r="M44" s="443" t="s">
        <v>95</v>
      </c>
      <c r="N44" s="444">
        <v>0.45</v>
      </c>
      <c r="O44" s="445">
        <f>49929/'Average wages'!B28</f>
        <v>7.9584664725907028E-2</v>
      </c>
      <c r="P44" s="470">
        <f>((224681+0.45*49929)/0.45)/'Average wages'!B28</f>
        <v>0.87543308304799183</v>
      </c>
    </row>
    <row r="45" spans="1:16" ht="57" x14ac:dyDescent="0.25">
      <c r="A45" s="134" t="s">
        <v>244</v>
      </c>
      <c r="B45" s="135" t="s">
        <v>1378</v>
      </c>
      <c r="C45" s="136" t="s">
        <v>876</v>
      </c>
      <c r="D45" s="136" t="s">
        <v>898</v>
      </c>
      <c r="E45" s="135" t="s">
        <v>1379</v>
      </c>
      <c r="F45" s="136" t="s">
        <v>123</v>
      </c>
      <c r="G45" s="136" t="s">
        <v>123</v>
      </c>
      <c r="H45" s="136" t="s">
        <v>123</v>
      </c>
      <c r="I45" s="136" t="s">
        <v>248</v>
      </c>
      <c r="J45" s="136" t="s">
        <v>123</v>
      </c>
      <c r="K45" s="135" t="s">
        <v>95</v>
      </c>
      <c r="L45" s="456" t="s">
        <v>1380</v>
      </c>
      <c r="M45" s="136" t="s">
        <v>95</v>
      </c>
      <c r="N45" s="456" t="s">
        <v>95</v>
      </c>
      <c r="O45" s="458" t="s">
        <v>95</v>
      </c>
      <c r="P45" s="459" t="s">
        <v>95</v>
      </c>
    </row>
    <row r="46" spans="1:16" ht="148.19999999999999" x14ac:dyDescent="0.25">
      <c r="A46" s="454" t="s">
        <v>74</v>
      </c>
      <c r="B46" s="135" t="s">
        <v>1195</v>
      </c>
      <c r="C46" s="136" t="s">
        <v>876</v>
      </c>
      <c r="D46" s="136" t="s">
        <v>890</v>
      </c>
      <c r="E46" s="135" t="s">
        <v>1196</v>
      </c>
      <c r="F46" s="136" t="s">
        <v>123</v>
      </c>
      <c r="G46" s="136" t="s">
        <v>123</v>
      </c>
      <c r="H46" s="136" t="s">
        <v>1197</v>
      </c>
      <c r="I46" s="136" t="s">
        <v>248</v>
      </c>
      <c r="J46" s="136" t="s">
        <v>123</v>
      </c>
      <c r="K46" s="135" t="s">
        <v>503</v>
      </c>
      <c r="L46" s="136" t="s">
        <v>1198</v>
      </c>
      <c r="M46" s="136" t="s">
        <v>95</v>
      </c>
      <c r="N46" s="136" t="s">
        <v>1199</v>
      </c>
      <c r="O46" s="149" t="s">
        <v>511</v>
      </c>
      <c r="P46" s="487" t="s">
        <v>511</v>
      </c>
    </row>
    <row r="47" spans="1:16" ht="57" x14ac:dyDescent="0.25">
      <c r="A47" s="471" t="s">
        <v>74</v>
      </c>
      <c r="B47" s="447" t="s">
        <v>1200</v>
      </c>
      <c r="C47" s="448" t="s">
        <v>878</v>
      </c>
      <c r="D47" s="448" t="s">
        <v>887</v>
      </c>
      <c r="E47" s="447" t="s">
        <v>895</v>
      </c>
      <c r="F47" s="448" t="s">
        <v>248</v>
      </c>
      <c r="G47" s="448" t="s">
        <v>248</v>
      </c>
      <c r="H47" s="448" t="s">
        <v>123</v>
      </c>
      <c r="I47" s="448" t="s">
        <v>248</v>
      </c>
      <c r="J47" s="448" t="s">
        <v>123</v>
      </c>
      <c r="K47" s="447" t="s">
        <v>509</v>
      </c>
      <c r="L47" s="448" t="s">
        <v>909</v>
      </c>
      <c r="M47" s="448" t="s">
        <v>95</v>
      </c>
      <c r="N47" s="448" t="s">
        <v>512</v>
      </c>
      <c r="O47" s="475">
        <v>0</v>
      </c>
      <c r="P47" s="488" t="s">
        <v>95</v>
      </c>
    </row>
    <row r="48" spans="1:16" ht="68.400000000000006" x14ac:dyDescent="0.25">
      <c r="A48" s="134" t="s">
        <v>75</v>
      </c>
      <c r="B48" s="135" t="s">
        <v>501</v>
      </c>
      <c r="C48" s="136" t="s">
        <v>387</v>
      </c>
      <c r="D48" s="136" t="s">
        <v>882</v>
      </c>
      <c r="E48" s="135" t="s">
        <v>123</v>
      </c>
      <c r="F48" s="136" t="s">
        <v>123</v>
      </c>
      <c r="G48" s="136" t="s">
        <v>123</v>
      </c>
      <c r="H48" s="136" t="s">
        <v>123</v>
      </c>
      <c r="I48" s="136" t="s">
        <v>123</v>
      </c>
      <c r="J48" s="489" t="str">
        <f>"Yes, six times the monthly minimum wage ("&amp;TEXT(580*6/'Average wages'!B31,"0%")&amp;" of AW)"</f>
        <v>Yes, six times the monthly minimum wage (26% of AW)</v>
      </c>
      <c r="K48" s="135" t="s">
        <v>1141</v>
      </c>
      <c r="L48" s="136" t="s">
        <v>1142</v>
      </c>
      <c r="M48" s="136" t="s">
        <v>95</v>
      </c>
      <c r="N48" s="148">
        <v>0.19</v>
      </c>
      <c r="O48" s="137" t="s">
        <v>1143</v>
      </c>
      <c r="P48" s="152">
        <f>580*12/'Average wages'!B31</f>
        <v>0.52726047367650308</v>
      </c>
    </row>
    <row r="49" spans="1:16" ht="34.200000000000003" x14ac:dyDescent="0.25">
      <c r="A49" s="311" t="s">
        <v>75</v>
      </c>
      <c r="B49" s="138" t="s">
        <v>429</v>
      </c>
      <c r="C49" s="139" t="s">
        <v>438</v>
      </c>
      <c r="D49" s="139" t="s">
        <v>498</v>
      </c>
      <c r="E49" s="138" t="s">
        <v>123</v>
      </c>
      <c r="F49" s="139" t="s">
        <v>248</v>
      </c>
      <c r="G49" s="139" t="s">
        <v>248</v>
      </c>
      <c r="H49" s="139" t="s">
        <v>123</v>
      </c>
      <c r="I49" s="139" t="s">
        <v>123</v>
      </c>
      <c r="J49" s="489" t="str">
        <f>J48</f>
        <v>Yes, six times the monthly minimum wage (26% of AW)</v>
      </c>
      <c r="K49" s="138" t="s">
        <v>513</v>
      </c>
      <c r="L49" s="139" t="str">
        <f>"EUR 45.44/month ("&amp;TEXT(100*45.44*12/'Average wages'!B31,0)&amp;"% of AW)"</f>
        <v>EUR 45.44/month (4% of AW)</v>
      </c>
      <c r="M49" s="139" t="s">
        <v>95</v>
      </c>
      <c r="N49" s="19" t="s">
        <v>95</v>
      </c>
      <c r="O49" s="150" t="s">
        <v>95</v>
      </c>
      <c r="P49" s="151" t="s">
        <v>95</v>
      </c>
    </row>
    <row r="50" spans="1:16" ht="22.8" x14ac:dyDescent="0.25">
      <c r="A50" s="311" t="s">
        <v>75</v>
      </c>
      <c r="B50" s="138" t="s">
        <v>893</v>
      </c>
      <c r="C50" s="139" t="s">
        <v>892</v>
      </c>
      <c r="D50" s="139" t="s">
        <v>891</v>
      </c>
      <c r="E50" s="138" t="s">
        <v>123</v>
      </c>
      <c r="F50" s="139" t="s">
        <v>123</v>
      </c>
      <c r="G50" s="139" t="s">
        <v>123</v>
      </c>
      <c r="H50" s="139" t="s">
        <v>515</v>
      </c>
      <c r="I50" s="139" t="s">
        <v>248</v>
      </c>
      <c r="J50" s="139" t="str">
        <f>"Yes, minimum wage ("&amp;TEXT(100*580*12/'Average wages'!B31,0)&amp;"% of AW)"</f>
        <v>Yes, minimum wage (53% of AW)</v>
      </c>
      <c r="K50" s="138" t="s">
        <v>507</v>
      </c>
      <c r="L50" s="490" t="str">
        <f>"EUR 135.70 per month ("&amp;TEXT(100*135.7*12/'Average wages'!B31,0)&amp;"% of AW)"</f>
        <v>EUR 135.70 per month (12% of AW)</v>
      </c>
      <c r="M50" s="139" t="s">
        <v>95</v>
      </c>
      <c r="N50" s="491">
        <v>0.75</v>
      </c>
      <c r="O50" s="150">
        <v>0</v>
      </c>
      <c r="P50" s="151" t="s">
        <v>95</v>
      </c>
    </row>
    <row r="51" spans="1:16" ht="68.400000000000006" x14ac:dyDescent="0.25">
      <c r="A51" s="311" t="s">
        <v>75</v>
      </c>
      <c r="B51" s="138" t="s">
        <v>1144</v>
      </c>
      <c r="C51" s="139" t="s">
        <v>878</v>
      </c>
      <c r="D51" s="139" t="s">
        <v>887</v>
      </c>
      <c r="E51" s="138" t="s">
        <v>1145</v>
      </c>
      <c r="F51" s="139" t="s">
        <v>123</v>
      </c>
      <c r="G51" s="139" t="s">
        <v>123</v>
      </c>
      <c r="H51" s="139" t="s">
        <v>515</v>
      </c>
      <c r="I51" s="139" t="s">
        <v>248</v>
      </c>
      <c r="J51" s="139" t="str">
        <f>J50</f>
        <v>Yes, minimum wage (53% of AW)</v>
      </c>
      <c r="K51" s="138" t="s">
        <v>503</v>
      </c>
      <c r="L51" s="490" t="str">
        <f>"EUR 126.14 per month ("&amp;TEXT(126.14*12/'Average wages'!B31,"0%")&amp;" of AW) for first 12 months
EUR 63.07 per month ("&amp;TEXT(100*63.07*12/'Average wages'!B31,0)&amp;"% of AW) for next six months"</f>
        <v>EUR 126.14 per month (11% of AW) for first 12 months
EUR 63.07 per month (6% of AW) for next six months</v>
      </c>
      <c r="M51" s="139" t="s">
        <v>95</v>
      </c>
      <c r="N51" s="491" t="s">
        <v>894</v>
      </c>
      <c r="O51" s="150" t="s">
        <v>1143</v>
      </c>
      <c r="P51" s="151">
        <f>580*2*12/'Average wages'!B31</f>
        <v>1.0545209473530062</v>
      </c>
    </row>
    <row r="52" spans="1:16" ht="57" x14ac:dyDescent="0.25">
      <c r="A52" s="142" t="s">
        <v>75</v>
      </c>
      <c r="B52" s="447" t="s">
        <v>516</v>
      </c>
      <c r="C52" s="448" t="s">
        <v>499</v>
      </c>
      <c r="D52" s="448" t="s">
        <v>500</v>
      </c>
      <c r="E52" s="447" t="s">
        <v>248</v>
      </c>
      <c r="F52" s="448" t="s">
        <v>123</v>
      </c>
      <c r="G52" s="448" t="s">
        <v>123</v>
      </c>
      <c r="H52" s="448" t="s">
        <v>515</v>
      </c>
      <c r="I52" s="448" t="s">
        <v>248</v>
      </c>
      <c r="J52" s="448" t="s">
        <v>123</v>
      </c>
      <c r="K52" s="447" t="s">
        <v>274</v>
      </c>
      <c r="L52" s="448" t="s">
        <v>517</v>
      </c>
      <c r="M52" s="448" t="s">
        <v>95</v>
      </c>
      <c r="N52" s="233" t="s">
        <v>95</v>
      </c>
      <c r="O52" s="492" t="s">
        <v>95</v>
      </c>
      <c r="P52" s="493" t="s">
        <v>95</v>
      </c>
    </row>
    <row r="53" spans="1:16" ht="148.19999999999999" x14ac:dyDescent="0.25">
      <c r="A53" s="301" t="s">
        <v>76</v>
      </c>
      <c r="B53" s="296" t="s">
        <v>518</v>
      </c>
      <c r="C53" s="443" t="s">
        <v>880</v>
      </c>
      <c r="D53" s="443" t="s">
        <v>891</v>
      </c>
      <c r="E53" s="296" t="s">
        <v>123</v>
      </c>
      <c r="F53" s="443" t="s">
        <v>123</v>
      </c>
      <c r="G53" s="443" t="s">
        <v>123</v>
      </c>
      <c r="H53" s="494" t="s">
        <v>1146</v>
      </c>
      <c r="I53" s="443" t="s">
        <v>123</v>
      </c>
      <c r="J53" s="443" t="s">
        <v>123</v>
      </c>
      <c r="K53" s="296" t="s">
        <v>507</v>
      </c>
      <c r="L53" s="443" t="str">
        <f>"First adult: EUR 104.57 per month ("&amp;TEXT(100*104.57*12/'Average wages'!B32,0)&amp;"% of AW) if working 60-128 hours per month, EUR 205.11 per month ("&amp;TEXT(100*205.11*12/'Average wages'!B32,0)&amp;"% of AW) if working more than 128 hours per month.
Second adult: EUR 52.28 per month ("&amp;TEXT(100*52.28*12/'Average wages'!B32,0)&amp;"% of AW) if working 60-128 hours per month, EUR 104.57 per month ("&amp;TEXT(100*104.57*12/'Average wages'!B32,0)&amp;"% of AW) if working more than 128 hours per month."</f>
        <v>First adult: EUR 104.57 per month (6% of AW) if working 60-128 hours per month, EUR 205.11 per month (12% of AW) if working more than 128 hours per month.
Second adult: EUR 52.28 per month (3% of AW) if working 60-128 hours per month, EUR 104.57 per month (6% of AW) if working more than 128 hours per month.</v>
      </c>
      <c r="M53" s="443" t="s">
        <v>95</v>
      </c>
      <c r="N53" s="444">
        <v>1</v>
      </c>
      <c r="O53" s="445">
        <v>0</v>
      </c>
      <c r="P53" s="261">
        <f>5866/'Average wages'!B32</f>
        <v>0.28720650579354462</v>
      </c>
    </row>
    <row r="54" spans="1:16" x14ac:dyDescent="0.25">
      <c r="A54" s="301" t="s">
        <v>77</v>
      </c>
      <c r="B54" s="39" t="s">
        <v>1275</v>
      </c>
      <c r="C54" s="443"/>
      <c r="D54" s="443"/>
      <c r="E54" s="296"/>
      <c r="F54" s="443"/>
      <c r="G54" s="443"/>
      <c r="H54" s="494"/>
      <c r="I54" s="443"/>
      <c r="J54" s="443"/>
      <c r="K54" s="296"/>
      <c r="L54" s="443"/>
      <c r="M54" s="443"/>
      <c r="N54" s="444"/>
      <c r="O54" s="445"/>
      <c r="P54" s="261"/>
    </row>
    <row r="55" spans="1:16" ht="45.6" x14ac:dyDescent="0.25">
      <c r="A55" s="482" t="s">
        <v>78</v>
      </c>
      <c r="B55" s="457" t="s">
        <v>492</v>
      </c>
      <c r="C55" s="456" t="s">
        <v>387</v>
      </c>
      <c r="D55" s="456" t="s">
        <v>493</v>
      </c>
      <c r="E55" s="457" t="s">
        <v>123</v>
      </c>
      <c r="F55" s="456" t="s">
        <v>123</v>
      </c>
      <c r="G55" s="456" t="s">
        <v>123</v>
      </c>
      <c r="H55" s="456" t="s">
        <v>123</v>
      </c>
      <c r="I55" s="456" t="s">
        <v>123</v>
      </c>
      <c r="J55" s="456" t="s">
        <v>123</v>
      </c>
      <c r="K55" s="457" t="s">
        <v>503</v>
      </c>
      <c r="L55" s="456" t="str">
        <f>"Depends on local tax rate, at average local tax rate approximately SEK 31,000 ("&amp;TEXT(31000/'Average wages'!B34,"0%")&amp;" of AW)"</f>
        <v>Depends on local tax rate, at average local tax rate approximately SEK 31,000 (7% of AW)</v>
      </c>
      <c r="M55" s="456" t="s">
        <v>1034</v>
      </c>
      <c r="N55" s="227">
        <v>0.03</v>
      </c>
      <c r="O55" s="227">
        <f>13.54*47300/'Average wages'!B34</f>
        <v>1.3750271803606389</v>
      </c>
      <c r="P55" s="530">
        <f>35.4*47300/'Average wages'!B34</f>
        <v>3.5949750505736056</v>
      </c>
    </row>
    <row r="56" spans="1:16" ht="79.8" x14ac:dyDescent="0.25">
      <c r="A56" s="134" t="s">
        <v>79</v>
      </c>
      <c r="B56" s="447" t="s">
        <v>502</v>
      </c>
      <c r="C56" s="448" t="s">
        <v>432</v>
      </c>
      <c r="D56" s="448" t="s">
        <v>493</v>
      </c>
      <c r="E56" s="447" t="s">
        <v>123</v>
      </c>
      <c r="F56" s="448" t="s">
        <v>123</v>
      </c>
      <c r="G56" s="448" t="s">
        <v>123</v>
      </c>
      <c r="H56" s="448" t="s">
        <v>123</v>
      </c>
      <c r="I56" s="448" t="s">
        <v>123</v>
      </c>
      <c r="J56" s="448" t="s">
        <v>123</v>
      </c>
      <c r="K56" s="447" t="s">
        <v>504</v>
      </c>
      <c r="L56" s="448" t="str">
        <f>"CHF 4,000 ("&amp;TEXT(4000/'Average wages'!B35,"0%")&amp;" of AW)"</f>
        <v>CHF 4,000 (5% of AW)</v>
      </c>
      <c r="M56" s="495">
        <v>0.03</v>
      </c>
      <c r="N56" s="448" t="s">
        <v>95</v>
      </c>
      <c r="O56" s="492" t="str">
        <f>"Maximum tax allowance reached at approximately "&amp;TEXT(148200/'Average wages'!B35,"0%")&amp;" of AW, no phase-out"</f>
        <v>Maximum tax allowance reached at approximately 170% of AW, no phase-out</v>
      </c>
      <c r="P56" s="493" t="s">
        <v>95</v>
      </c>
    </row>
    <row r="57" spans="1:16" x14ac:dyDescent="0.25">
      <c r="A57" s="301" t="s">
        <v>80</v>
      </c>
      <c r="B57" s="39" t="s">
        <v>1275</v>
      </c>
      <c r="C57" s="443"/>
      <c r="D57" s="443"/>
      <c r="E57" s="296"/>
      <c r="F57" s="443"/>
      <c r="G57" s="443"/>
      <c r="H57" s="494"/>
      <c r="I57" s="443"/>
      <c r="J57" s="443"/>
      <c r="K57" s="296"/>
      <c r="L57" s="443"/>
      <c r="M57" s="443"/>
      <c r="N57" s="444"/>
      <c r="O57" s="445"/>
      <c r="P57" s="261"/>
    </row>
    <row r="58" spans="1:16" ht="210" customHeight="1" x14ac:dyDescent="0.25">
      <c r="A58" s="394" t="s">
        <v>1433</v>
      </c>
      <c r="B58" s="496" t="s">
        <v>1214</v>
      </c>
      <c r="C58" s="465" t="s">
        <v>1226</v>
      </c>
      <c r="D58" s="465" t="s">
        <v>1227</v>
      </c>
      <c r="E58" s="464" t="s">
        <v>123</v>
      </c>
      <c r="F58" s="465" t="s">
        <v>123</v>
      </c>
      <c r="G58" s="465" t="s">
        <v>248</v>
      </c>
      <c r="H58" s="465" t="s">
        <v>123</v>
      </c>
      <c r="I58" s="465" t="s">
        <v>123</v>
      </c>
      <c r="J58" s="465" t="s">
        <v>123</v>
      </c>
      <c r="K58" s="464" t="s">
        <v>1228</v>
      </c>
      <c r="L58" s="465" t="str">
        <f>"GBP 13, 333 ("&amp;TEXT(11123.64*100/'Average wages'!B37,0)&amp;"% of AW)"</f>
        <v>GBP 13, 333 (27% of AW)</v>
      </c>
      <c r="M58" s="468" t="s">
        <v>95</v>
      </c>
      <c r="N58" s="245">
        <v>0.63</v>
      </c>
      <c r="O58" s="497">
        <f>6166/'Average wages'!B37</f>
        <v>0.14748625859916825</v>
      </c>
      <c r="P58" s="197">
        <f>29500/'Average wages'!B37</f>
        <v>0.70561865531551471</v>
      </c>
    </row>
    <row r="59" spans="1:16" ht="91.2" x14ac:dyDescent="0.25">
      <c r="A59" s="98" t="s">
        <v>1434</v>
      </c>
      <c r="B59" s="296" t="s">
        <v>519</v>
      </c>
      <c r="C59" s="443" t="s">
        <v>387</v>
      </c>
      <c r="D59" s="443" t="s">
        <v>896</v>
      </c>
      <c r="E59" s="296" t="s">
        <v>123</v>
      </c>
      <c r="F59" s="443" t="s">
        <v>123</v>
      </c>
      <c r="G59" s="443" t="s">
        <v>248</v>
      </c>
      <c r="H59" s="443" t="s">
        <v>123</v>
      </c>
      <c r="I59" s="443" t="s">
        <v>123</v>
      </c>
      <c r="J59" s="443" t="s">
        <v>123</v>
      </c>
      <c r="K59" s="296" t="s">
        <v>509</v>
      </c>
      <c r="L59" s="443" t="str">
        <f>"USD 7,033 ("&amp;TEXT(100*7033/'Average wages'!B38,0)&amp;"% of AW) without children;
USD 10,541 ("&amp;TEXT(100*10541/'Average wages'!B38,0)&amp;"% of AW) with one child;
USD 14,800 ("&amp;TEXT(100*14800/'Average wages'!B38,0)&amp;"% of AW) with 2 or more children"</f>
        <v>USD 7,033 (12% of AW) without children;
USD 10,541 (18% of AW) with one child;
USD 14,800 (25% of AW) with 2 or more children</v>
      </c>
      <c r="M59" s="443" t="s">
        <v>911</v>
      </c>
      <c r="N59" s="443" t="s">
        <v>910</v>
      </c>
      <c r="O59" s="445">
        <f>8787/'Average wages'!B38</f>
        <v>0.14591403993591603</v>
      </c>
      <c r="P59" s="470">
        <f>15820/'Average wages'!B38</f>
        <v>0.2627017311694767</v>
      </c>
    </row>
    <row r="60" spans="1:16" x14ac:dyDescent="0.25">
      <c r="A60" s="21" t="s">
        <v>1149</v>
      </c>
      <c r="B60" s="143"/>
      <c r="C60" s="144"/>
      <c r="D60" s="144"/>
      <c r="E60" s="143"/>
      <c r="F60" s="144"/>
      <c r="G60" s="144"/>
      <c r="H60" s="144"/>
      <c r="I60" s="144"/>
      <c r="J60" s="144"/>
      <c r="K60" s="143"/>
      <c r="L60" s="144"/>
      <c r="M60" s="144"/>
      <c r="N60" s="144"/>
      <c r="O60" s="144"/>
      <c r="P60" s="145"/>
    </row>
    <row r="61" spans="1:16" ht="68.400000000000006" x14ac:dyDescent="0.25">
      <c r="A61" s="482" t="s">
        <v>83</v>
      </c>
      <c r="B61" s="457" t="s">
        <v>917</v>
      </c>
      <c r="C61" s="456" t="s">
        <v>514</v>
      </c>
      <c r="D61" s="456" t="s">
        <v>897</v>
      </c>
      <c r="E61" s="457" t="s">
        <v>248</v>
      </c>
      <c r="F61" s="456" t="s">
        <v>123</v>
      </c>
      <c r="G61" s="456" t="s">
        <v>123</v>
      </c>
      <c r="H61" s="456" t="s">
        <v>904</v>
      </c>
      <c r="I61" s="456" t="s">
        <v>248</v>
      </c>
      <c r="J61" s="456" t="s">
        <v>939</v>
      </c>
      <c r="K61" s="457" t="s">
        <v>274</v>
      </c>
      <c r="L61" s="456" t="s">
        <v>915</v>
      </c>
      <c r="M61" s="456" t="s">
        <v>95</v>
      </c>
      <c r="N61" s="456" t="s">
        <v>95</v>
      </c>
      <c r="O61" s="458" t="s">
        <v>95</v>
      </c>
      <c r="P61" s="459" t="s">
        <v>916</v>
      </c>
    </row>
    <row r="62" spans="1:16" x14ac:dyDescent="0.25">
      <c r="A62" s="97" t="s">
        <v>84</v>
      </c>
      <c r="B62" s="260" t="s">
        <v>1275</v>
      </c>
      <c r="C62" s="456"/>
      <c r="D62" s="461"/>
      <c r="E62" s="394"/>
      <c r="F62" s="461"/>
      <c r="G62" s="461"/>
      <c r="H62" s="461"/>
      <c r="I62" s="461"/>
      <c r="J62" s="461"/>
      <c r="K62" s="394"/>
      <c r="L62" s="461"/>
      <c r="M62" s="461"/>
      <c r="N62" s="461"/>
      <c r="O62" s="498"/>
      <c r="P62" s="459"/>
    </row>
    <row r="63" spans="1:16" x14ac:dyDescent="0.25">
      <c r="A63" s="97" t="s">
        <v>585</v>
      </c>
      <c r="B63" s="260" t="s">
        <v>1275</v>
      </c>
      <c r="C63" s="456"/>
      <c r="D63" s="461"/>
      <c r="E63" s="394"/>
      <c r="F63" s="461"/>
      <c r="G63" s="461"/>
      <c r="H63" s="461"/>
      <c r="I63" s="461"/>
      <c r="J63" s="461"/>
      <c r="K63" s="394"/>
      <c r="L63" s="461"/>
      <c r="M63" s="461"/>
      <c r="N63" s="461"/>
      <c r="O63" s="498"/>
      <c r="P63" s="459"/>
    </row>
    <row r="64" spans="1:16" ht="114" x14ac:dyDescent="0.25">
      <c r="A64" s="397" t="s">
        <v>192</v>
      </c>
      <c r="B64" s="394" t="s">
        <v>874</v>
      </c>
      <c r="C64" s="456" t="s">
        <v>489</v>
      </c>
      <c r="D64" s="461" t="s">
        <v>886</v>
      </c>
      <c r="E64" s="394" t="s">
        <v>123</v>
      </c>
      <c r="F64" s="461" t="s">
        <v>248</v>
      </c>
      <c r="G64" s="461" t="s">
        <v>248</v>
      </c>
      <c r="H64" s="461" t="s">
        <v>123</v>
      </c>
      <c r="I64" s="461" t="s">
        <v>123</v>
      </c>
      <c r="J64" s="461" t="str">
        <f>"Yes: 
- EUR 10000 for two-earner couple with children ("&amp;TEXT(10000/'[1]Average wages'!B43,"0%")&amp;" of AW)
- EUR 6600 for a one-earner couples and single persons with children ("&amp;TEXT(6600/'[1]Average wages'!B43,"0%")&amp;" of AW)
Earnings refer to the entire family"</f>
        <v>Yes: 
- EUR 10000 for two-earner couple with children (39% of AW)
- EUR 6600 for a one-earner couples and single persons with children (25% of AW)
Earnings refer to the entire family</v>
      </c>
      <c r="K64" s="394" t="s">
        <v>654</v>
      </c>
      <c r="L64" s="394" t="str">
        <f>"- EUR 1,300 per child for a two-earner couple ("&amp;TEXT(1300/'[1]Average wages'!B43,"0%")&amp;" of AW) 
- EUR 1,350 per child for alone parent ("&amp;TEXT(1300/'[1]Average wages'!B43,"0%")&amp;" of AW)
- EUR 550 per child for one-earner couple ("&amp;TEXT(550/'[1]Average wages'!B43,"0%")&amp;" of AW)"</f>
        <v>- EUR 1,300 per child for a two-earner couple (5% of AW) 
- EUR 1,350 per child for alone parent (5% of AW)
- EUR 550 per child for one-earner couple (2% of AW)</v>
      </c>
      <c r="M64" s="461" t="s">
        <v>1147</v>
      </c>
      <c r="N64" s="461" t="s">
        <v>1148</v>
      </c>
      <c r="O64" s="462" t="str">
        <f>TEXT(10511.99/'[1]Average wages'!B43,"0%")&amp;" for lone parents;
"&amp;TEXT(17911.99/'[1]Average wages'!B43,"0%")&amp;" for two-earner couples;
"&amp;TEXT(13812.99/'[1]Average wages'!B43,"0%")&amp;" for single-earner couples"</f>
        <v>41% for lone parents;
69% for two-earner couples;
53% for single-earner couples</v>
      </c>
      <c r="P64" s="530" t="str">
        <f>TEXT(17312/'[1]Average wages'!B43,"0%")&amp;" for lone parents and one-earner couples;
"&amp;TEXT(24812/'[1]Average wages'!B43,"0%")&amp;" for two-earner couples"</f>
        <v>67% for lone parents and one-earner couples;
96% for two-earner couples</v>
      </c>
    </row>
    <row r="65" spans="1:16" ht="57" x14ac:dyDescent="0.25">
      <c r="A65" s="397" t="s">
        <v>192</v>
      </c>
      <c r="B65" s="394" t="s">
        <v>935</v>
      </c>
      <c r="C65" s="461" t="s">
        <v>514</v>
      </c>
      <c r="D65" s="461" t="s">
        <v>936</v>
      </c>
      <c r="E65" s="394" t="s">
        <v>937</v>
      </c>
      <c r="F65" s="461" t="s">
        <v>123</v>
      </c>
      <c r="G65" s="461" t="s">
        <v>123</v>
      </c>
      <c r="H65" s="461" t="s">
        <v>123</v>
      </c>
      <c r="I65" s="461" t="s">
        <v>123</v>
      </c>
      <c r="J65" s="461" t="s">
        <v>940</v>
      </c>
      <c r="K65" s="394" t="s">
        <v>95</v>
      </c>
      <c r="L65" s="394" t="s">
        <v>938</v>
      </c>
      <c r="M65" s="461" t="s">
        <v>95</v>
      </c>
      <c r="N65" s="461" t="s">
        <v>95</v>
      </c>
      <c r="O65" s="462" t="s">
        <v>95</v>
      </c>
      <c r="P65" s="479" t="s">
        <v>95</v>
      </c>
    </row>
    <row r="66" spans="1:16" ht="34.200000000000003" x14ac:dyDescent="0.25">
      <c r="A66" s="397" t="s">
        <v>87</v>
      </c>
      <c r="B66" s="394" t="s">
        <v>941</v>
      </c>
      <c r="C66" s="461" t="s">
        <v>514</v>
      </c>
      <c r="D66" s="461" t="s">
        <v>898</v>
      </c>
      <c r="E66" s="394" t="s">
        <v>942</v>
      </c>
      <c r="F66" s="461" t="s">
        <v>123</v>
      </c>
      <c r="G66" s="461" t="s">
        <v>123</v>
      </c>
      <c r="H66" s="461" t="s">
        <v>123</v>
      </c>
      <c r="I66" s="461" t="s">
        <v>248</v>
      </c>
      <c r="J66" s="461" t="s">
        <v>123</v>
      </c>
      <c r="K66" s="394" t="s">
        <v>274</v>
      </c>
      <c r="L66" s="461" t="s">
        <v>520</v>
      </c>
      <c r="M66" s="461" t="s">
        <v>95</v>
      </c>
      <c r="N66" s="461" t="s">
        <v>95</v>
      </c>
      <c r="O66" s="462" t="s">
        <v>95</v>
      </c>
      <c r="P66" s="479" t="s">
        <v>95</v>
      </c>
    </row>
    <row r="67" spans="1:16" ht="45.6" x14ac:dyDescent="0.25">
      <c r="A67" s="499" t="s">
        <v>87</v>
      </c>
      <c r="B67" s="473" t="s">
        <v>943</v>
      </c>
      <c r="C67" s="474" t="s">
        <v>489</v>
      </c>
      <c r="D67" s="474" t="s">
        <v>944</v>
      </c>
      <c r="E67" s="473" t="s">
        <v>123</v>
      </c>
      <c r="F67" s="474" t="s">
        <v>123</v>
      </c>
      <c r="G67" s="474" t="s">
        <v>123</v>
      </c>
      <c r="H67" s="474" t="s">
        <v>123</v>
      </c>
      <c r="I67" s="474" t="s">
        <v>123</v>
      </c>
      <c r="J67" s="474" t="s">
        <v>623</v>
      </c>
      <c r="K67" s="473" t="s">
        <v>522</v>
      </c>
      <c r="L67" s="474" t="s">
        <v>945</v>
      </c>
      <c r="M67" s="474" t="s">
        <v>95</v>
      </c>
      <c r="N67" s="474" t="s">
        <v>95</v>
      </c>
      <c r="O67" s="449" t="s">
        <v>95</v>
      </c>
      <c r="P67" s="528" t="s">
        <v>946</v>
      </c>
    </row>
    <row r="68" spans="1:16" x14ac:dyDescent="0.25">
      <c r="A68" s="86"/>
      <c r="B68" s="86"/>
      <c r="C68" s="86"/>
      <c r="D68" s="86"/>
      <c r="E68" s="86"/>
      <c r="F68" s="86"/>
      <c r="G68" s="86"/>
      <c r="H68" s="86"/>
      <c r="I68" s="86"/>
      <c r="J68" s="86"/>
      <c r="K68" s="86"/>
      <c r="L68" s="86"/>
      <c r="M68" s="86"/>
      <c r="N68" s="86"/>
      <c r="O68" s="86"/>
      <c r="P68" s="86"/>
    </row>
    <row r="69" spans="1:16" x14ac:dyDescent="0.25">
      <c r="A69" s="146" t="s">
        <v>88</v>
      </c>
      <c r="B69" s="86"/>
      <c r="C69" s="86"/>
      <c r="D69" s="86"/>
      <c r="E69" s="86"/>
      <c r="F69" s="86"/>
      <c r="G69" s="86"/>
      <c r="H69" s="86"/>
      <c r="I69" s="86"/>
      <c r="J69" s="86"/>
      <c r="K69" s="86"/>
      <c r="L69" s="86"/>
      <c r="M69" s="86"/>
      <c r="N69" s="86"/>
      <c r="O69" s="86"/>
      <c r="P69" s="86"/>
    </row>
    <row r="70" spans="1:16" x14ac:dyDescent="0.25">
      <c r="A70" s="86" t="s">
        <v>599</v>
      </c>
      <c r="B70" s="86"/>
      <c r="C70" s="86"/>
      <c r="D70" s="86"/>
      <c r="E70" s="86"/>
      <c r="F70" s="86"/>
      <c r="G70" s="86"/>
      <c r="H70" s="86"/>
      <c r="I70" s="86"/>
      <c r="J70" s="86"/>
      <c r="K70" s="86"/>
      <c r="L70" s="86"/>
      <c r="M70" s="86"/>
      <c r="N70" s="86"/>
      <c r="O70" s="86"/>
      <c r="P70" s="86"/>
    </row>
    <row r="71" spans="1:16" x14ac:dyDescent="0.25">
      <c r="A71" s="555" t="s">
        <v>89</v>
      </c>
      <c r="B71" s="86"/>
      <c r="C71" s="86"/>
      <c r="D71" s="86"/>
      <c r="E71" s="86"/>
      <c r="F71" s="86"/>
      <c r="G71" s="86"/>
      <c r="H71" s="86"/>
      <c r="I71" s="86"/>
      <c r="J71" s="86"/>
      <c r="K71" s="86"/>
      <c r="L71" s="86"/>
      <c r="M71" s="86"/>
      <c r="N71" s="86"/>
      <c r="O71" s="86"/>
      <c r="P71" s="86"/>
    </row>
    <row r="72" spans="1:16" x14ac:dyDescent="0.25">
      <c r="A72" s="86" t="s">
        <v>1422</v>
      </c>
      <c r="B72" s="147"/>
      <c r="C72" s="147"/>
      <c r="D72" s="86"/>
      <c r="E72" s="86"/>
      <c r="F72" s="86"/>
      <c r="G72" s="86"/>
      <c r="H72" s="86"/>
      <c r="I72" s="86"/>
      <c r="J72" s="86"/>
      <c r="K72" s="86"/>
      <c r="L72" s="86"/>
      <c r="M72" s="86"/>
      <c r="N72" s="86"/>
      <c r="O72" s="86"/>
      <c r="P72" s="86"/>
    </row>
    <row r="73" spans="1:16" x14ac:dyDescent="0.25">
      <c r="A73" s="86" t="s">
        <v>1423</v>
      </c>
      <c r="B73" s="147"/>
      <c r="C73" s="147"/>
      <c r="D73" s="86"/>
      <c r="E73" s="86"/>
      <c r="F73" s="86"/>
      <c r="G73" s="86"/>
      <c r="H73" s="86"/>
      <c r="I73" s="86"/>
      <c r="J73" s="86"/>
      <c r="K73" s="86"/>
      <c r="L73" s="86"/>
      <c r="M73" s="86"/>
      <c r="N73" s="86"/>
      <c r="O73" s="86"/>
      <c r="P73" s="86"/>
    </row>
    <row r="74" spans="1:16" x14ac:dyDescent="0.25">
      <c r="A74" s="86" t="s">
        <v>523</v>
      </c>
      <c r="B74" s="147"/>
      <c r="C74" s="147"/>
      <c r="D74" s="86"/>
      <c r="E74" s="86"/>
      <c r="F74" s="86"/>
      <c r="G74" s="86"/>
      <c r="H74" s="86"/>
      <c r="I74" s="86"/>
      <c r="J74" s="86"/>
      <c r="K74" s="86"/>
      <c r="L74" s="86"/>
      <c r="M74" s="86"/>
      <c r="N74" s="86"/>
      <c r="O74" s="86"/>
      <c r="P74" s="86"/>
    </row>
    <row r="75" spans="1:16" x14ac:dyDescent="0.25">
      <c r="A75" s="86" t="s">
        <v>1435</v>
      </c>
      <c r="B75" s="147"/>
      <c r="C75" s="147"/>
      <c r="D75" s="86"/>
      <c r="E75" s="86"/>
      <c r="F75" s="86"/>
      <c r="G75" s="86"/>
      <c r="H75" s="86"/>
      <c r="I75" s="86"/>
      <c r="J75" s="86"/>
      <c r="K75" s="86"/>
      <c r="L75" s="86"/>
      <c r="M75" s="86"/>
      <c r="N75" s="86"/>
      <c r="O75" s="86"/>
      <c r="P75" s="86"/>
    </row>
    <row r="76" spans="1:16" x14ac:dyDescent="0.25">
      <c r="A76" s="86" t="s">
        <v>1436</v>
      </c>
      <c r="B76" s="147"/>
      <c r="C76" s="147"/>
      <c r="D76" s="86"/>
      <c r="E76" s="86"/>
      <c r="F76" s="86"/>
      <c r="G76" s="86"/>
      <c r="H76" s="86"/>
      <c r="I76" s="86"/>
      <c r="J76" s="86"/>
      <c r="K76" s="86"/>
      <c r="L76" s="86"/>
      <c r="M76" s="86"/>
      <c r="N76" s="86"/>
      <c r="O76" s="86"/>
      <c r="P76" s="86"/>
    </row>
    <row r="77" spans="1:16" x14ac:dyDescent="0.25">
      <c r="A77" s="86" t="s">
        <v>1448</v>
      </c>
      <c r="B77" s="147"/>
      <c r="C77" s="147"/>
      <c r="D77" s="86"/>
      <c r="E77" s="86"/>
      <c r="F77" s="86"/>
      <c r="G77" s="86"/>
      <c r="H77" s="86"/>
      <c r="I77" s="86"/>
      <c r="J77" s="86"/>
      <c r="K77" s="86"/>
      <c r="L77" s="86"/>
      <c r="M77" s="86"/>
      <c r="N77" s="86"/>
      <c r="O77" s="86"/>
      <c r="P77" s="86"/>
    </row>
    <row r="78" spans="1:16" x14ac:dyDescent="0.25">
      <c r="A78" s="86" t="s">
        <v>1449</v>
      </c>
      <c r="B78" s="147"/>
      <c r="C78" s="147"/>
      <c r="D78" s="86"/>
      <c r="E78" s="86"/>
      <c r="F78" s="86"/>
      <c r="G78" s="86"/>
      <c r="H78" s="86"/>
      <c r="I78" s="86"/>
      <c r="J78" s="86"/>
      <c r="K78" s="86"/>
      <c r="L78" s="86"/>
      <c r="M78" s="86"/>
      <c r="N78" s="86"/>
      <c r="O78" s="86"/>
      <c r="P78" s="86"/>
    </row>
    <row r="79" spans="1:16" x14ac:dyDescent="0.25">
      <c r="B79" s="147"/>
      <c r="C79" s="147"/>
      <c r="D79" s="86"/>
      <c r="E79" s="86"/>
      <c r="F79" s="86"/>
      <c r="G79" s="86"/>
      <c r="H79" s="86"/>
      <c r="I79" s="86"/>
      <c r="J79" s="86"/>
      <c r="K79" s="86"/>
      <c r="L79" s="86"/>
      <c r="M79" s="86"/>
      <c r="N79" s="86"/>
      <c r="O79" s="86"/>
      <c r="P79" s="86"/>
    </row>
    <row r="80" spans="1:16" x14ac:dyDescent="0.25">
      <c r="A80" s="141"/>
      <c r="B80" s="86"/>
      <c r="C80" s="86"/>
      <c r="D80" s="86"/>
      <c r="E80" s="86"/>
      <c r="F80" s="86"/>
      <c r="G80" s="86"/>
      <c r="H80" s="86"/>
      <c r="I80" s="86"/>
      <c r="J80" s="86"/>
      <c r="K80" s="86"/>
      <c r="L80" s="86"/>
      <c r="M80" s="86"/>
      <c r="N80" s="86"/>
      <c r="O80" s="86"/>
      <c r="P80" s="86"/>
    </row>
    <row r="81" spans="1:16" x14ac:dyDescent="0.25">
      <c r="A81" s="1" t="s">
        <v>91</v>
      </c>
      <c r="B81" s="153" t="s">
        <v>6</v>
      </c>
      <c r="C81" s="86"/>
      <c r="D81" s="86"/>
      <c r="E81" s="86"/>
      <c r="F81" s="86"/>
      <c r="G81" s="86"/>
      <c r="H81" s="86"/>
      <c r="I81" s="86"/>
      <c r="J81" s="86"/>
      <c r="K81" s="86"/>
      <c r="L81" s="86"/>
      <c r="M81" s="86"/>
      <c r="N81" s="86"/>
      <c r="O81" s="86"/>
      <c r="P81" s="86"/>
    </row>
  </sheetData>
  <autoFilter ref="A7:A67" xr:uid="{00000000-0009-0000-0000-000006000000}"/>
  <mergeCells count="7">
    <mergeCell ref="A1:P1"/>
    <mergeCell ref="A2:P2"/>
    <mergeCell ref="B4:B5"/>
    <mergeCell ref="C4:C5"/>
    <mergeCell ref="D4:D5"/>
    <mergeCell ref="E4:J4"/>
    <mergeCell ref="K4:P4"/>
  </mergeCells>
  <hyperlinks>
    <hyperlink ref="B81" r:id="rId1" xr:uid="{00000000-0004-0000-06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8"/>
  <sheetViews>
    <sheetView zoomScale="70" zoomScaleNormal="70" workbookViewId="0">
      <selection sqref="A1:H1"/>
    </sheetView>
  </sheetViews>
  <sheetFormatPr defaultColWidth="8.6640625" defaultRowHeight="13.2" x14ac:dyDescent="0.25"/>
  <cols>
    <col min="1" max="2" width="8.6640625" style="23"/>
    <col min="3" max="3" width="17" style="23" customWidth="1"/>
    <col min="4" max="4" width="17.44140625" style="23" customWidth="1"/>
    <col min="5" max="5" width="21.109375" style="23" customWidth="1"/>
    <col min="6" max="6" width="19.5546875" style="23" bestFit="1" customWidth="1"/>
    <col min="7" max="7" width="13.109375" style="23" bestFit="1" customWidth="1"/>
    <col min="8" max="8" width="12.88671875" style="23" bestFit="1" customWidth="1"/>
    <col min="9" max="16384" width="8.6640625" style="23"/>
  </cols>
  <sheetData>
    <row r="1" spans="1:8" ht="17.399999999999999" x14ac:dyDescent="0.3">
      <c r="A1" s="592" t="s">
        <v>526</v>
      </c>
      <c r="B1" s="592"/>
      <c r="C1" s="592"/>
      <c r="D1" s="592"/>
      <c r="E1" s="592"/>
      <c r="F1" s="592"/>
      <c r="G1" s="592"/>
      <c r="H1" s="592"/>
    </row>
    <row r="2" spans="1:8" ht="17.399999999999999" x14ac:dyDescent="0.3">
      <c r="A2" s="592">
        <v>2020</v>
      </c>
      <c r="B2" s="592"/>
      <c r="C2" s="592"/>
      <c r="D2" s="592"/>
      <c r="E2" s="592"/>
      <c r="F2" s="592"/>
      <c r="G2" s="592"/>
      <c r="H2" s="592"/>
    </row>
    <row r="3" spans="1:8" ht="13.5" hidden="1" customHeight="1" x14ac:dyDescent="0.25">
      <c r="A3" s="6" t="s">
        <v>5</v>
      </c>
      <c r="B3" s="555"/>
      <c r="C3" s="555" t="s">
        <v>339</v>
      </c>
      <c r="D3" s="555" t="s">
        <v>339</v>
      </c>
      <c r="E3" s="555" t="s">
        <v>339</v>
      </c>
      <c r="F3" s="555" t="s">
        <v>339</v>
      </c>
      <c r="G3" s="555" t="s">
        <v>339</v>
      </c>
      <c r="H3" s="555" t="s">
        <v>339</v>
      </c>
    </row>
    <row r="4" spans="1:8" hidden="1" x14ac:dyDescent="0.25">
      <c r="A4" s="54" t="s">
        <v>10</v>
      </c>
      <c r="B4" s="555"/>
      <c r="C4" s="555" t="s">
        <v>527</v>
      </c>
      <c r="D4" s="555" t="s">
        <v>528</v>
      </c>
      <c r="E4" s="555" t="s">
        <v>529</v>
      </c>
      <c r="F4" s="555" t="s">
        <v>530</v>
      </c>
      <c r="G4" s="555" t="s">
        <v>531</v>
      </c>
      <c r="H4" s="555" t="s">
        <v>532</v>
      </c>
    </row>
    <row r="5" spans="1:8" x14ac:dyDescent="0.25">
      <c r="A5" s="1" t="s">
        <v>533</v>
      </c>
      <c r="B5" s="555"/>
      <c r="C5" s="555"/>
      <c r="D5" s="555"/>
      <c r="E5" s="555"/>
      <c r="F5" s="555"/>
      <c r="G5" s="555"/>
      <c r="H5" s="555"/>
    </row>
    <row r="6" spans="1:8" x14ac:dyDescent="0.25">
      <c r="A6" s="553" t="s">
        <v>534</v>
      </c>
      <c r="B6" s="667" t="s">
        <v>535</v>
      </c>
      <c r="C6" s="667"/>
      <c r="D6" s="667"/>
      <c r="E6" s="554" t="s">
        <v>536</v>
      </c>
      <c r="F6" s="664" t="s">
        <v>537</v>
      </c>
      <c r="G6" s="664"/>
      <c r="H6" s="664"/>
    </row>
    <row r="7" spans="1:8" x14ac:dyDescent="0.25">
      <c r="A7" s="553" t="s">
        <v>538</v>
      </c>
      <c r="B7" s="553" t="s">
        <v>539</v>
      </c>
      <c r="C7" s="553"/>
      <c r="D7" s="553"/>
      <c r="E7" s="554"/>
      <c r="F7" s="608" t="s">
        <v>540</v>
      </c>
      <c r="G7" s="608"/>
      <c r="H7" s="608"/>
    </row>
    <row r="8" spans="1:8" x14ac:dyDescent="0.25">
      <c r="A8" s="553" t="s">
        <v>541</v>
      </c>
      <c r="B8" s="667" t="s">
        <v>542</v>
      </c>
      <c r="C8" s="667"/>
      <c r="D8" s="667"/>
      <c r="E8" s="554"/>
      <c r="F8" s="664" t="s">
        <v>543</v>
      </c>
      <c r="G8" s="664"/>
      <c r="H8" s="664"/>
    </row>
    <row r="9" spans="1:8" ht="22.8" x14ac:dyDescent="0.25">
      <c r="A9" s="554" t="s">
        <v>544</v>
      </c>
      <c r="B9" s="664" t="s">
        <v>545</v>
      </c>
      <c r="C9" s="664"/>
      <c r="D9" s="664"/>
      <c r="E9" s="554" t="s">
        <v>546</v>
      </c>
      <c r="F9" s="664" t="s">
        <v>547</v>
      </c>
      <c r="G9" s="664"/>
      <c r="H9" s="664"/>
    </row>
    <row r="10" spans="1:8" x14ac:dyDescent="0.25">
      <c r="A10" s="156" t="s">
        <v>95</v>
      </c>
      <c r="B10" s="553" t="s">
        <v>548</v>
      </c>
      <c r="C10" s="553"/>
      <c r="D10" s="553"/>
      <c r="E10" s="555" t="s">
        <v>549</v>
      </c>
      <c r="F10" s="555" t="s">
        <v>438</v>
      </c>
      <c r="G10" s="555"/>
      <c r="H10" s="555"/>
    </row>
    <row r="11" spans="1:8" x14ac:dyDescent="0.25">
      <c r="A11" s="554" t="s">
        <v>464</v>
      </c>
      <c r="B11" s="555" t="s">
        <v>550</v>
      </c>
      <c r="C11" s="555"/>
      <c r="D11" s="555"/>
      <c r="E11" s="555"/>
      <c r="F11" s="554"/>
      <c r="G11" s="554"/>
      <c r="H11" s="554"/>
    </row>
    <row r="12" spans="1:8" x14ac:dyDescent="0.25">
      <c r="A12" s="554"/>
      <c r="B12" s="665" t="s">
        <v>551</v>
      </c>
      <c r="C12" s="665"/>
      <c r="D12" s="665"/>
      <c r="E12" s="555"/>
      <c r="F12" s="555"/>
      <c r="G12" s="554"/>
      <c r="H12" s="554"/>
    </row>
    <row r="13" spans="1:8" x14ac:dyDescent="0.25">
      <c r="A13" s="124"/>
      <c r="B13" s="124"/>
      <c r="C13" s="124"/>
      <c r="D13" s="124"/>
      <c r="E13" s="124"/>
      <c r="F13" s="124"/>
      <c r="G13" s="124"/>
      <c r="H13" s="124"/>
    </row>
    <row r="14" spans="1:8" x14ac:dyDescent="0.25">
      <c r="A14" s="124"/>
      <c r="B14" s="124"/>
      <c r="C14" s="124"/>
      <c r="D14" s="124"/>
      <c r="E14" s="124"/>
      <c r="F14" s="124"/>
      <c r="G14" s="124"/>
      <c r="H14" s="124"/>
    </row>
    <row r="15" spans="1:8" ht="34.200000000000003" x14ac:dyDescent="0.25">
      <c r="A15" s="514"/>
      <c r="B15" s="157"/>
      <c r="C15" s="536" t="s">
        <v>552</v>
      </c>
      <c r="D15" s="537" t="s">
        <v>553</v>
      </c>
      <c r="E15" s="537" t="s">
        <v>431</v>
      </c>
      <c r="F15" s="537" t="s">
        <v>554</v>
      </c>
      <c r="G15" s="537" t="s">
        <v>555</v>
      </c>
      <c r="H15" s="538" t="s">
        <v>522</v>
      </c>
    </row>
    <row r="16" spans="1:8" x14ac:dyDescent="0.25">
      <c r="A16" s="263"/>
      <c r="B16" s="64"/>
      <c r="C16" s="539" t="s">
        <v>39</v>
      </c>
      <c r="D16" s="540" t="s">
        <v>40</v>
      </c>
      <c r="E16" s="540" t="s">
        <v>41</v>
      </c>
      <c r="F16" s="540" t="s">
        <v>42</v>
      </c>
      <c r="G16" s="540" t="s">
        <v>43</v>
      </c>
      <c r="H16" s="541" t="s">
        <v>44</v>
      </c>
    </row>
    <row r="17" spans="1:8" x14ac:dyDescent="0.25">
      <c r="A17" s="60" t="s">
        <v>53</v>
      </c>
      <c r="B17" s="64"/>
      <c r="C17" s="62"/>
      <c r="D17" s="13"/>
      <c r="E17" s="13"/>
      <c r="F17" s="13"/>
      <c r="G17" s="13"/>
      <c r="H17" s="64"/>
    </row>
    <row r="18" spans="1:8" x14ac:dyDescent="0.25">
      <c r="A18" s="193" t="s">
        <v>309</v>
      </c>
      <c r="B18" s="131"/>
      <c r="C18" s="158" t="s">
        <v>95</v>
      </c>
      <c r="D18" s="159" t="s">
        <v>560</v>
      </c>
      <c r="E18" s="159" t="s">
        <v>534</v>
      </c>
      <c r="F18" s="159" t="s">
        <v>534</v>
      </c>
      <c r="G18" s="159" t="s">
        <v>544</v>
      </c>
      <c r="H18" s="160" t="s">
        <v>95</v>
      </c>
    </row>
    <row r="19" spans="1:8" x14ac:dyDescent="0.25">
      <c r="A19" s="193" t="s">
        <v>54</v>
      </c>
      <c r="B19" s="131"/>
      <c r="C19" s="158" t="s">
        <v>464</v>
      </c>
      <c r="D19" s="159" t="s">
        <v>464</v>
      </c>
      <c r="E19" s="159" t="s">
        <v>544</v>
      </c>
      <c r="F19" s="159" t="s">
        <v>549</v>
      </c>
      <c r="G19" s="159" t="s">
        <v>544</v>
      </c>
      <c r="H19" s="160" t="s">
        <v>544</v>
      </c>
    </row>
    <row r="20" spans="1:8" x14ac:dyDescent="0.25">
      <c r="A20" s="193" t="s">
        <v>240</v>
      </c>
      <c r="B20" s="131"/>
      <c r="C20" s="158" t="s">
        <v>560</v>
      </c>
      <c r="D20" s="159" t="s">
        <v>95</v>
      </c>
      <c r="E20" s="159" t="s">
        <v>544</v>
      </c>
      <c r="F20" s="159" t="s">
        <v>544</v>
      </c>
      <c r="G20" s="159" t="s">
        <v>95</v>
      </c>
      <c r="H20" s="160" t="s">
        <v>544</v>
      </c>
    </row>
    <row r="21" spans="1:8" x14ac:dyDescent="0.25">
      <c r="A21" s="193" t="s">
        <v>310</v>
      </c>
      <c r="B21" s="131"/>
      <c r="C21" s="158" t="s">
        <v>534</v>
      </c>
      <c r="D21" s="159" t="s">
        <v>95</v>
      </c>
      <c r="E21" s="159" t="s">
        <v>544</v>
      </c>
      <c r="F21" s="159" t="s">
        <v>544</v>
      </c>
      <c r="G21" s="159" t="s">
        <v>95</v>
      </c>
      <c r="H21" s="160" t="s">
        <v>544</v>
      </c>
    </row>
    <row r="22" spans="1:8" x14ac:dyDescent="0.25">
      <c r="A22" s="193" t="s">
        <v>56</v>
      </c>
      <c r="B22" s="131"/>
      <c r="C22" s="579" t="s">
        <v>1447</v>
      </c>
      <c r="D22" s="159"/>
      <c r="E22" s="159"/>
      <c r="F22" s="159"/>
      <c r="G22" s="159"/>
      <c r="H22" s="160"/>
    </row>
    <row r="23" spans="1:8" x14ac:dyDescent="0.25">
      <c r="A23" s="193" t="s">
        <v>57</v>
      </c>
      <c r="B23" s="131"/>
      <c r="C23" s="158" t="s">
        <v>544</v>
      </c>
      <c r="D23" s="159" t="s">
        <v>95</v>
      </c>
      <c r="E23" s="159" t="s">
        <v>544</v>
      </c>
      <c r="F23" s="159" t="s">
        <v>95</v>
      </c>
      <c r="G23" s="159" t="s">
        <v>544</v>
      </c>
      <c r="H23" s="160" t="s">
        <v>544</v>
      </c>
    </row>
    <row r="24" spans="1:8" x14ac:dyDescent="0.25">
      <c r="A24" s="193" t="s">
        <v>58</v>
      </c>
      <c r="B24" s="131"/>
      <c r="C24" s="158" t="s">
        <v>561</v>
      </c>
      <c r="D24" s="159" t="s">
        <v>95</v>
      </c>
      <c r="E24" s="159" t="s">
        <v>544</v>
      </c>
      <c r="F24" s="159" t="s">
        <v>544</v>
      </c>
      <c r="G24" s="159" t="s">
        <v>544</v>
      </c>
      <c r="H24" s="160" t="s">
        <v>561</v>
      </c>
    </row>
    <row r="25" spans="1:8" x14ac:dyDescent="0.25">
      <c r="A25" s="193" t="s">
        <v>59</v>
      </c>
      <c r="B25" s="131"/>
      <c r="C25" s="158" t="s">
        <v>534</v>
      </c>
      <c r="D25" s="159" t="s">
        <v>544</v>
      </c>
      <c r="E25" s="159" t="s">
        <v>544</v>
      </c>
      <c r="F25" s="159" t="s">
        <v>544</v>
      </c>
      <c r="G25" s="159" t="s">
        <v>544</v>
      </c>
      <c r="H25" s="160" t="s">
        <v>544</v>
      </c>
    </row>
    <row r="26" spans="1:8" ht="34.200000000000003" x14ac:dyDescent="0.25">
      <c r="A26" s="193" t="s">
        <v>60</v>
      </c>
      <c r="B26" s="131"/>
      <c r="C26" s="158" t="s">
        <v>562</v>
      </c>
      <c r="D26" s="159" t="s">
        <v>562</v>
      </c>
      <c r="E26" s="159" t="s">
        <v>544</v>
      </c>
      <c r="F26" s="159" t="s">
        <v>544</v>
      </c>
      <c r="G26" s="159" t="s">
        <v>544</v>
      </c>
      <c r="H26" s="160" t="s">
        <v>544</v>
      </c>
    </row>
    <row r="27" spans="1:8" x14ac:dyDescent="0.25">
      <c r="A27" s="193" t="s">
        <v>556</v>
      </c>
      <c r="B27" s="131"/>
      <c r="C27" s="158" t="s">
        <v>563</v>
      </c>
      <c r="D27" s="159" t="s">
        <v>564</v>
      </c>
      <c r="E27" s="159" t="s">
        <v>567</v>
      </c>
      <c r="F27" s="159" t="s">
        <v>567</v>
      </c>
      <c r="G27" s="159" t="s">
        <v>567</v>
      </c>
      <c r="H27" s="160" t="s">
        <v>544</v>
      </c>
    </row>
    <row r="28" spans="1:8" x14ac:dyDescent="0.25">
      <c r="A28" s="193" t="s">
        <v>62</v>
      </c>
      <c r="B28" s="131"/>
      <c r="C28" s="158" t="s">
        <v>464</v>
      </c>
      <c r="D28" s="159" t="s">
        <v>544</v>
      </c>
      <c r="E28" s="159" t="s">
        <v>549</v>
      </c>
      <c r="F28" s="159" t="s">
        <v>544</v>
      </c>
      <c r="G28" s="159" t="s">
        <v>544</v>
      </c>
      <c r="H28" s="160" t="s">
        <v>544</v>
      </c>
    </row>
    <row r="29" spans="1:8" x14ac:dyDescent="0.25">
      <c r="A29" s="193" t="s">
        <v>63</v>
      </c>
      <c r="B29" s="131"/>
      <c r="C29" s="158" t="s">
        <v>736</v>
      </c>
      <c r="D29" s="159" t="s">
        <v>736</v>
      </c>
      <c r="E29" s="159" t="s">
        <v>544</v>
      </c>
      <c r="F29" s="159" t="s">
        <v>544</v>
      </c>
      <c r="G29" s="159" t="s">
        <v>544</v>
      </c>
      <c r="H29" s="160" t="s">
        <v>544</v>
      </c>
    </row>
    <row r="30" spans="1:8" x14ac:dyDescent="0.25">
      <c r="A30" s="193" t="s">
        <v>64</v>
      </c>
      <c r="B30" s="131"/>
      <c r="C30" s="158" t="s">
        <v>561</v>
      </c>
      <c r="D30" s="159" t="s">
        <v>95</v>
      </c>
      <c r="E30" s="159" t="s">
        <v>549</v>
      </c>
      <c r="F30" s="159" t="s">
        <v>544</v>
      </c>
      <c r="G30" s="159" t="s">
        <v>544</v>
      </c>
      <c r="H30" s="160" t="s">
        <v>544</v>
      </c>
    </row>
    <row r="31" spans="1:8" x14ac:dyDescent="0.25">
      <c r="A31" s="193" t="s">
        <v>65</v>
      </c>
      <c r="B31" s="131"/>
      <c r="C31" s="158" t="s">
        <v>565</v>
      </c>
      <c r="D31" s="159" t="s">
        <v>95</v>
      </c>
      <c r="E31" s="159" t="s">
        <v>544</v>
      </c>
      <c r="F31" s="159" t="s">
        <v>565</v>
      </c>
      <c r="G31" s="159" t="s">
        <v>544</v>
      </c>
      <c r="H31" s="160" t="s">
        <v>565</v>
      </c>
    </row>
    <row r="32" spans="1:8" x14ac:dyDescent="0.25">
      <c r="A32" s="193" t="s">
        <v>66</v>
      </c>
      <c r="B32" s="131"/>
      <c r="C32" s="158" t="s">
        <v>566</v>
      </c>
      <c r="D32" s="159" t="s">
        <v>544</v>
      </c>
      <c r="E32" s="159" t="s">
        <v>544</v>
      </c>
      <c r="F32" s="159" t="s">
        <v>534</v>
      </c>
      <c r="G32" s="159" t="s">
        <v>544</v>
      </c>
      <c r="H32" s="160" t="s">
        <v>544</v>
      </c>
    </row>
    <row r="33" spans="1:8" x14ac:dyDescent="0.25">
      <c r="A33" s="193" t="s">
        <v>67</v>
      </c>
      <c r="B33" s="131"/>
      <c r="C33" s="158" t="s">
        <v>561</v>
      </c>
      <c r="D33" s="159" t="s">
        <v>95</v>
      </c>
      <c r="E33" s="159" t="s">
        <v>544</v>
      </c>
      <c r="F33" s="159" t="s">
        <v>544</v>
      </c>
      <c r="G33" s="159" t="s">
        <v>544</v>
      </c>
      <c r="H33" s="160" t="s">
        <v>567</v>
      </c>
    </row>
    <row r="34" spans="1:8" x14ac:dyDescent="0.25">
      <c r="A34" s="193" t="s">
        <v>68</v>
      </c>
      <c r="B34" s="131"/>
      <c r="C34" s="158" t="s">
        <v>565</v>
      </c>
      <c r="D34" s="159" t="s">
        <v>95</v>
      </c>
      <c r="E34" s="159" t="s">
        <v>544</v>
      </c>
      <c r="F34" s="159" t="s">
        <v>544</v>
      </c>
      <c r="G34" s="159" t="s">
        <v>95</v>
      </c>
      <c r="H34" s="160" t="s">
        <v>544</v>
      </c>
    </row>
    <row r="35" spans="1:8" x14ac:dyDescent="0.25">
      <c r="A35" s="193" t="s">
        <v>69</v>
      </c>
      <c r="B35" s="131"/>
      <c r="C35" s="158" t="s">
        <v>544</v>
      </c>
      <c r="D35" s="159" t="s">
        <v>95</v>
      </c>
      <c r="E35" s="159" t="s">
        <v>544</v>
      </c>
      <c r="F35" s="159" t="s">
        <v>544</v>
      </c>
      <c r="G35" s="159" t="s">
        <v>544</v>
      </c>
      <c r="H35" s="160" t="s">
        <v>544</v>
      </c>
    </row>
    <row r="36" spans="1:8" x14ac:dyDescent="0.25">
      <c r="A36" s="193" t="s">
        <v>70</v>
      </c>
      <c r="B36" s="131"/>
      <c r="C36" s="579" t="s">
        <v>1447</v>
      </c>
      <c r="D36" s="159"/>
      <c r="E36" s="159"/>
      <c r="F36" s="159"/>
      <c r="G36" s="159"/>
      <c r="H36" s="160"/>
    </row>
    <row r="37" spans="1:8" x14ac:dyDescent="0.25">
      <c r="A37" s="33" t="s">
        <v>85</v>
      </c>
      <c r="B37" s="131"/>
      <c r="C37" s="158" t="s">
        <v>544</v>
      </c>
      <c r="D37" s="159" t="s">
        <v>95</v>
      </c>
      <c r="E37" s="159" t="s">
        <v>544</v>
      </c>
      <c r="F37" s="159" t="s">
        <v>544</v>
      </c>
      <c r="G37" s="159" t="s">
        <v>544</v>
      </c>
      <c r="H37" s="160" t="s">
        <v>544</v>
      </c>
    </row>
    <row r="38" spans="1:8" x14ac:dyDescent="0.25">
      <c r="A38" s="33" t="s">
        <v>86</v>
      </c>
      <c r="B38" s="34"/>
      <c r="C38" s="158" t="s">
        <v>544</v>
      </c>
      <c r="D38" s="159" t="s">
        <v>95</v>
      </c>
      <c r="E38" s="159" t="s">
        <v>544</v>
      </c>
      <c r="F38" s="159" t="s">
        <v>544</v>
      </c>
      <c r="G38" s="159" t="s">
        <v>544</v>
      </c>
      <c r="H38" s="160" t="s">
        <v>544</v>
      </c>
    </row>
    <row r="39" spans="1:8" ht="22.8" x14ac:dyDescent="0.25">
      <c r="A39" s="193" t="s">
        <v>557</v>
      </c>
      <c r="B39" s="131"/>
      <c r="C39" s="158" t="s">
        <v>563</v>
      </c>
      <c r="D39" s="159" t="s">
        <v>95</v>
      </c>
      <c r="E39" s="159" t="s">
        <v>544</v>
      </c>
      <c r="F39" s="159" t="s">
        <v>549</v>
      </c>
      <c r="G39" s="159" t="s">
        <v>544</v>
      </c>
      <c r="H39" s="160" t="s">
        <v>568</v>
      </c>
    </row>
    <row r="40" spans="1:8" x14ac:dyDescent="0.25">
      <c r="A40" s="193" t="s">
        <v>72</v>
      </c>
      <c r="B40" s="131"/>
      <c r="C40" s="158" t="s">
        <v>565</v>
      </c>
      <c r="D40" s="159" t="s">
        <v>95</v>
      </c>
      <c r="E40" s="159" t="s">
        <v>544</v>
      </c>
      <c r="F40" s="159" t="s">
        <v>544</v>
      </c>
      <c r="G40" s="159" t="s">
        <v>544</v>
      </c>
      <c r="H40" s="160" t="s">
        <v>464</v>
      </c>
    </row>
    <row r="41" spans="1:8" x14ac:dyDescent="0.25">
      <c r="A41" s="193" t="s">
        <v>187</v>
      </c>
      <c r="B41" s="131"/>
      <c r="C41" s="579" t="s">
        <v>1447</v>
      </c>
      <c r="D41" s="159"/>
      <c r="E41" s="159"/>
      <c r="F41" s="159"/>
      <c r="G41" s="159"/>
      <c r="H41" s="160"/>
    </row>
    <row r="42" spans="1:8" x14ac:dyDescent="0.25">
      <c r="A42" s="193" t="s">
        <v>1425</v>
      </c>
      <c r="B42" s="131"/>
      <c r="C42" s="158" t="s">
        <v>534</v>
      </c>
      <c r="D42" s="159" t="s">
        <v>95</v>
      </c>
      <c r="E42" s="159" t="s">
        <v>544</v>
      </c>
      <c r="F42" s="159" t="s">
        <v>538</v>
      </c>
      <c r="G42" s="159" t="s">
        <v>544</v>
      </c>
      <c r="H42" s="160" t="s">
        <v>544</v>
      </c>
    </row>
    <row r="43" spans="1:8" x14ac:dyDescent="0.25">
      <c r="A43" s="193" t="s">
        <v>244</v>
      </c>
      <c r="B43" s="131"/>
      <c r="C43" s="158" t="s">
        <v>1381</v>
      </c>
      <c r="D43" s="159" t="s">
        <v>95</v>
      </c>
      <c r="E43" s="159" t="s">
        <v>544</v>
      </c>
      <c r="F43" s="159" t="s">
        <v>544</v>
      </c>
      <c r="G43" s="159" t="s">
        <v>544</v>
      </c>
      <c r="H43" s="160" t="s">
        <v>544</v>
      </c>
    </row>
    <row r="44" spans="1:8" x14ac:dyDescent="0.25">
      <c r="A44" s="193" t="s">
        <v>74</v>
      </c>
      <c r="B44" s="131"/>
      <c r="C44" s="158" t="s">
        <v>544</v>
      </c>
      <c r="D44" s="159" t="s">
        <v>544</v>
      </c>
      <c r="E44" s="159" t="s">
        <v>544</v>
      </c>
      <c r="F44" s="159" t="s">
        <v>95</v>
      </c>
      <c r="G44" s="159" t="s">
        <v>95</v>
      </c>
      <c r="H44" s="160" t="s">
        <v>544</v>
      </c>
    </row>
    <row r="45" spans="1:8" x14ac:dyDescent="0.25">
      <c r="A45" s="193" t="s">
        <v>75</v>
      </c>
      <c r="B45" s="131"/>
      <c r="C45" s="158" t="s">
        <v>544</v>
      </c>
      <c r="D45" s="159" t="s">
        <v>95</v>
      </c>
      <c r="E45" s="159" t="s">
        <v>569</v>
      </c>
      <c r="F45" s="159" t="s">
        <v>544</v>
      </c>
      <c r="G45" s="159" t="s">
        <v>544</v>
      </c>
      <c r="H45" s="160" t="s">
        <v>544</v>
      </c>
    </row>
    <row r="46" spans="1:8" x14ac:dyDescent="0.25">
      <c r="A46" s="193" t="s">
        <v>76</v>
      </c>
      <c r="B46" s="131"/>
      <c r="C46" s="158" t="s">
        <v>534</v>
      </c>
      <c r="D46" s="159" t="s">
        <v>95</v>
      </c>
      <c r="E46" s="159" t="s">
        <v>544</v>
      </c>
      <c r="F46" s="159" t="s">
        <v>544</v>
      </c>
      <c r="G46" s="159" t="s">
        <v>544</v>
      </c>
      <c r="H46" s="160" t="s">
        <v>544</v>
      </c>
    </row>
    <row r="47" spans="1:8" ht="34.200000000000003" x14ac:dyDescent="0.25">
      <c r="A47" s="193" t="s">
        <v>558</v>
      </c>
      <c r="B47" s="131"/>
      <c r="C47" s="158" t="s">
        <v>563</v>
      </c>
      <c r="D47" s="159" t="s">
        <v>1212</v>
      </c>
      <c r="E47" s="159" t="s">
        <v>544</v>
      </c>
      <c r="F47" s="159" t="s">
        <v>95</v>
      </c>
      <c r="G47" s="159" t="s">
        <v>95</v>
      </c>
      <c r="H47" s="160" t="s">
        <v>123</v>
      </c>
    </row>
    <row r="48" spans="1:8" x14ac:dyDescent="0.25">
      <c r="A48" s="193" t="s">
        <v>78</v>
      </c>
      <c r="B48" s="131"/>
      <c r="C48" s="158" t="s">
        <v>565</v>
      </c>
      <c r="D48" s="159" t="s">
        <v>565</v>
      </c>
      <c r="E48" s="159" t="s">
        <v>544</v>
      </c>
      <c r="F48" s="159" t="s">
        <v>544</v>
      </c>
      <c r="G48" s="159" t="s">
        <v>544</v>
      </c>
      <c r="H48" s="160" t="s">
        <v>544</v>
      </c>
    </row>
    <row r="49" spans="1:8" x14ac:dyDescent="0.25">
      <c r="A49" s="193" t="s">
        <v>79</v>
      </c>
      <c r="B49" s="131"/>
      <c r="C49" s="158" t="s">
        <v>563</v>
      </c>
      <c r="D49" s="159" t="s">
        <v>95</v>
      </c>
      <c r="E49" s="159" t="s">
        <v>534</v>
      </c>
      <c r="F49" s="159" t="s">
        <v>95</v>
      </c>
      <c r="G49" s="159" t="s">
        <v>95</v>
      </c>
      <c r="H49" s="160" t="s">
        <v>544</v>
      </c>
    </row>
    <row r="50" spans="1:8" x14ac:dyDescent="0.25">
      <c r="A50" s="193" t="s">
        <v>559</v>
      </c>
      <c r="B50" s="131"/>
      <c r="C50" s="158" t="s">
        <v>570</v>
      </c>
      <c r="D50" s="159" t="s">
        <v>95</v>
      </c>
      <c r="E50" s="159" t="s">
        <v>95</v>
      </c>
      <c r="F50" s="159" t="s">
        <v>95</v>
      </c>
      <c r="G50" s="159" t="s">
        <v>95</v>
      </c>
      <c r="H50" s="160" t="s">
        <v>95</v>
      </c>
    </row>
    <row r="51" spans="1:8" x14ac:dyDescent="0.25">
      <c r="A51" s="193" t="s">
        <v>81</v>
      </c>
      <c r="B51" s="131"/>
      <c r="C51" s="158" t="s">
        <v>560</v>
      </c>
      <c r="D51" s="159" t="s">
        <v>544</v>
      </c>
      <c r="E51" s="159" t="s">
        <v>544</v>
      </c>
      <c r="F51" s="159" t="s">
        <v>95</v>
      </c>
      <c r="G51" s="159" t="s">
        <v>544</v>
      </c>
      <c r="H51" s="160" t="s">
        <v>544</v>
      </c>
    </row>
    <row r="52" spans="1:8" x14ac:dyDescent="0.25">
      <c r="A52" s="193" t="s">
        <v>316</v>
      </c>
      <c r="B52" s="131"/>
      <c r="C52" s="158" t="s">
        <v>534</v>
      </c>
      <c r="D52" s="159" t="s">
        <v>95</v>
      </c>
      <c r="E52" s="159" t="s">
        <v>569</v>
      </c>
      <c r="F52" s="159" t="s">
        <v>569</v>
      </c>
      <c r="G52" s="159" t="s">
        <v>95</v>
      </c>
      <c r="H52" s="160" t="s">
        <v>544</v>
      </c>
    </row>
    <row r="53" spans="1:8" x14ac:dyDescent="0.25">
      <c r="A53" s="254" t="s">
        <v>82</v>
      </c>
      <c r="B53" s="510"/>
      <c r="C53" s="68"/>
      <c r="D53" s="511"/>
      <c r="E53" s="512"/>
      <c r="F53" s="512"/>
      <c r="G53" s="512"/>
      <c r="H53" s="513"/>
    </row>
    <row r="54" spans="1:8" x14ac:dyDescent="0.25">
      <c r="A54" s="33" t="s">
        <v>83</v>
      </c>
      <c r="B54" s="131"/>
      <c r="C54" s="158" t="s">
        <v>544</v>
      </c>
      <c r="D54" s="159" t="s">
        <v>95</v>
      </c>
      <c r="E54" s="159" t="s">
        <v>544</v>
      </c>
      <c r="F54" s="159" t="s">
        <v>544</v>
      </c>
      <c r="G54" s="159" t="s">
        <v>95</v>
      </c>
      <c r="H54" s="160" t="s">
        <v>544</v>
      </c>
    </row>
    <row r="55" spans="1:8" ht="34.200000000000003" x14ac:dyDescent="0.25">
      <c r="A55" s="33" t="s">
        <v>84</v>
      </c>
      <c r="B55" s="131"/>
      <c r="C55" s="158" t="s">
        <v>544</v>
      </c>
      <c r="D55" s="159" t="s">
        <v>95</v>
      </c>
      <c r="E55" s="159" t="s">
        <v>624</v>
      </c>
      <c r="F55" s="159" t="s">
        <v>544</v>
      </c>
      <c r="G55" s="159" t="s">
        <v>544</v>
      </c>
      <c r="H55" s="160" t="s">
        <v>544</v>
      </c>
    </row>
    <row r="56" spans="1:8" x14ac:dyDescent="0.25">
      <c r="A56" s="33" t="s">
        <v>585</v>
      </c>
      <c r="B56" s="131"/>
      <c r="C56" s="158" t="s">
        <v>544</v>
      </c>
      <c r="D56" s="159" t="s">
        <v>95</v>
      </c>
      <c r="E56" s="159" t="s">
        <v>544</v>
      </c>
      <c r="F56" s="159" t="s">
        <v>544</v>
      </c>
      <c r="G56" s="159" t="s">
        <v>544</v>
      </c>
      <c r="H56" s="160" t="s">
        <v>544</v>
      </c>
    </row>
    <row r="57" spans="1:8" x14ac:dyDescent="0.25">
      <c r="A57" s="33" t="s">
        <v>192</v>
      </c>
      <c r="B57" s="34"/>
      <c r="C57" s="158" t="s">
        <v>534</v>
      </c>
      <c r="D57" s="159" t="s">
        <v>544</v>
      </c>
      <c r="E57" s="159" t="s">
        <v>544</v>
      </c>
      <c r="F57" s="159" t="s">
        <v>544</v>
      </c>
      <c r="G57" s="159" t="s">
        <v>544</v>
      </c>
      <c r="H57" s="160" t="s">
        <v>534</v>
      </c>
    </row>
    <row r="58" spans="1:8" x14ac:dyDescent="0.25">
      <c r="A58" s="62" t="s">
        <v>87</v>
      </c>
      <c r="B58" s="64"/>
      <c r="C58" s="507" t="s">
        <v>544</v>
      </c>
      <c r="D58" s="508" t="s">
        <v>95</v>
      </c>
      <c r="E58" s="508" t="s">
        <v>544</v>
      </c>
      <c r="F58" s="508" t="s">
        <v>544</v>
      </c>
      <c r="G58" s="508" t="s">
        <v>95</v>
      </c>
      <c r="H58" s="509" t="s">
        <v>544</v>
      </c>
    </row>
    <row r="59" spans="1:8" x14ac:dyDescent="0.25">
      <c r="A59" s="124"/>
      <c r="B59" s="124"/>
      <c r="C59" s="124"/>
      <c r="D59" s="124"/>
      <c r="E59" s="124"/>
      <c r="F59" s="124"/>
      <c r="G59" s="124"/>
      <c r="H59" s="124"/>
    </row>
    <row r="60" spans="1:8" x14ac:dyDescent="0.25">
      <c r="A60" s="30" t="s">
        <v>88</v>
      </c>
      <c r="B60" s="29"/>
      <c r="C60" s="161"/>
      <c r="D60" s="162"/>
      <c r="E60" s="161"/>
      <c r="F60" s="161"/>
      <c r="G60" s="162"/>
      <c r="H60" s="161"/>
    </row>
    <row r="61" spans="1:8" x14ac:dyDescent="0.25">
      <c r="A61" s="555" t="s">
        <v>571</v>
      </c>
      <c r="B61" s="555"/>
      <c r="C61" s="555"/>
      <c r="D61" s="555"/>
      <c r="E61" s="555"/>
      <c r="F61" s="555"/>
      <c r="G61" s="555"/>
      <c r="H61" s="555"/>
    </row>
    <row r="62" spans="1:8" x14ac:dyDescent="0.25">
      <c r="A62" s="666" t="s">
        <v>572</v>
      </c>
      <c r="B62" s="666"/>
      <c r="C62" s="666"/>
      <c r="D62" s="666"/>
      <c r="E62" s="666"/>
      <c r="F62" s="666"/>
      <c r="G62" s="666"/>
      <c r="H62" s="666"/>
    </row>
    <row r="63" spans="1:8" x14ac:dyDescent="0.25">
      <c r="A63" s="666" t="s">
        <v>573</v>
      </c>
      <c r="B63" s="666"/>
      <c r="C63" s="666"/>
      <c r="D63" s="666"/>
      <c r="E63" s="666"/>
      <c r="F63" s="666"/>
      <c r="G63" s="666"/>
      <c r="H63" s="666"/>
    </row>
    <row r="64" spans="1:8" x14ac:dyDescent="0.25">
      <c r="A64" s="663" t="s">
        <v>574</v>
      </c>
      <c r="B64" s="663"/>
      <c r="C64" s="663"/>
      <c r="D64" s="663"/>
      <c r="E64" s="663"/>
      <c r="F64" s="663"/>
      <c r="G64" s="663"/>
      <c r="H64" s="663"/>
    </row>
    <row r="65" spans="1:8" x14ac:dyDescent="0.25">
      <c r="A65" s="663" t="s">
        <v>575</v>
      </c>
      <c r="B65" s="663"/>
      <c r="C65" s="663"/>
      <c r="D65" s="663"/>
      <c r="E65" s="663"/>
      <c r="F65" s="663"/>
      <c r="G65" s="663"/>
      <c r="H65" s="663"/>
    </row>
    <row r="66" spans="1:8" x14ac:dyDescent="0.25">
      <c r="A66" s="663" t="s">
        <v>576</v>
      </c>
      <c r="B66" s="663"/>
      <c r="C66" s="663"/>
      <c r="D66" s="663"/>
      <c r="E66" s="663"/>
      <c r="F66" s="663"/>
      <c r="G66" s="663"/>
      <c r="H66" s="663"/>
    </row>
    <row r="67" spans="1:8" x14ac:dyDescent="0.25">
      <c r="A67" s="130"/>
      <c r="B67" s="556"/>
      <c r="C67" s="556"/>
      <c r="D67" s="556"/>
      <c r="E67" s="556"/>
      <c r="F67" s="556"/>
      <c r="G67" s="556"/>
      <c r="H67" s="556"/>
    </row>
    <row r="68" spans="1:8" x14ac:dyDescent="0.25">
      <c r="A68" s="1" t="s">
        <v>91</v>
      </c>
      <c r="B68" s="555"/>
      <c r="C68" s="153" t="s">
        <v>6</v>
      </c>
      <c r="D68" s="555"/>
      <c r="E68" s="555"/>
      <c r="F68" s="555"/>
      <c r="G68" s="555"/>
      <c r="H68" s="555"/>
    </row>
  </sheetData>
  <mergeCells count="15">
    <mergeCell ref="B8:D8"/>
    <mergeCell ref="F8:H8"/>
    <mergeCell ref="A1:H1"/>
    <mergeCell ref="A2:H2"/>
    <mergeCell ref="B6:D6"/>
    <mergeCell ref="F6:H6"/>
    <mergeCell ref="F7:H7"/>
    <mergeCell ref="A65:H65"/>
    <mergeCell ref="A66:H66"/>
    <mergeCell ref="B9:D9"/>
    <mergeCell ref="F9:H9"/>
    <mergeCell ref="B12:D12"/>
    <mergeCell ref="A62:H62"/>
    <mergeCell ref="A63:H63"/>
    <mergeCell ref="A64:H64"/>
  </mergeCells>
  <hyperlinks>
    <hyperlink ref="C68" r:id="rId1" xr:uid="{00000000-0004-0000-0700-000000000000}"/>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7"/>
  <sheetViews>
    <sheetView zoomScale="60" zoomScaleNormal="60" workbookViewId="0">
      <selection activeCell="M34" sqref="M34"/>
    </sheetView>
  </sheetViews>
  <sheetFormatPr defaultRowHeight="13.2" x14ac:dyDescent="0.25"/>
  <cols>
    <col min="1" max="1" width="20" bestFit="1" customWidth="1"/>
    <col min="2" max="2" width="19.77734375" customWidth="1"/>
  </cols>
  <sheetData>
    <row r="1" spans="1:8" ht="17.399999999999999" x14ac:dyDescent="0.3">
      <c r="A1" s="668" t="s">
        <v>582</v>
      </c>
      <c r="B1" s="669"/>
      <c r="C1" s="187"/>
      <c r="D1" s="187"/>
      <c r="E1" s="187"/>
      <c r="F1" s="187"/>
      <c r="G1" s="187"/>
      <c r="H1" s="187"/>
    </row>
    <row r="2" spans="1:8" ht="17.399999999999999" x14ac:dyDescent="0.3">
      <c r="A2" s="670">
        <v>2020</v>
      </c>
      <c r="B2" s="671"/>
      <c r="C2" s="187"/>
      <c r="D2" s="187"/>
      <c r="E2" s="187"/>
      <c r="F2" s="187"/>
      <c r="G2" s="187"/>
      <c r="H2" s="187"/>
    </row>
    <row r="3" spans="1:8" x14ac:dyDescent="0.25">
      <c r="A3" s="184" t="s">
        <v>53</v>
      </c>
      <c r="B3" s="184" t="s">
        <v>1386</v>
      </c>
    </row>
    <row r="4" spans="1:8" x14ac:dyDescent="0.25">
      <c r="A4" s="163" t="s">
        <v>309</v>
      </c>
      <c r="B4" s="166">
        <f>VLOOKUP('Average wages'!A4,Sheet2!A$2:B$41,2,FALSE)</f>
        <v>90861</v>
      </c>
    </row>
    <row r="5" spans="1:8" x14ac:dyDescent="0.25">
      <c r="A5" s="163" t="s">
        <v>54</v>
      </c>
      <c r="B5" s="167">
        <f>VLOOKUP('Average wages'!A5,Sheet2!A$2:B$41,2,FALSE)</f>
        <v>48658.103373473743</v>
      </c>
    </row>
    <row r="6" spans="1:8" x14ac:dyDescent="0.25">
      <c r="A6" s="163" t="s">
        <v>240</v>
      </c>
      <c r="B6" s="167">
        <f>VLOOKUP('Average wages'!A6,Sheet2!A$2:B$41,2,FALSE)</f>
        <v>47720.332716461729</v>
      </c>
    </row>
    <row r="7" spans="1:8" x14ac:dyDescent="0.25">
      <c r="A7" s="163" t="s">
        <v>310</v>
      </c>
      <c r="B7" s="183">
        <f>VLOOKUP('Average wages'!A7,Sheet2!A$2:B$41,2,FALSE)</f>
        <v>57291.615823615299</v>
      </c>
    </row>
    <row r="8" spans="1:8" x14ac:dyDescent="0.25">
      <c r="A8" s="163" t="s">
        <v>56</v>
      </c>
      <c r="B8" s="183">
        <f>VLOOKUP('Average wages'!A8,Sheet2!A$2:B$41,2,FALSE)</f>
        <v>10279535</v>
      </c>
    </row>
    <row r="9" spans="1:8" x14ac:dyDescent="0.25">
      <c r="A9" s="163" t="s">
        <v>57</v>
      </c>
      <c r="B9" s="168">
        <f>VLOOKUP('Average wages'!A9,Sheet2!A$2:B$41,2,FALSE)</f>
        <v>402261.20732123469</v>
      </c>
    </row>
    <row r="10" spans="1:8" x14ac:dyDescent="0.25">
      <c r="A10" s="163" t="s">
        <v>58</v>
      </c>
      <c r="B10" s="169">
        <f>VLOOKUP('Average wages'!A10,Sheet2!A$2:B$41,2,FALSE)</f>
        <v>437093.87876620237</v>
      </c>
    </row>
    <row r="11" spans="1:8" x14ac:dyDescent="0.25">
      <c r="A11" s="163" t="s">
        <v>59</v>
      </c>
      <c r="B11" s="167">
        <f>VLOOKUP('Average wages'!A11,Sheet2!A$2:B$41,2,FALSE)</f>
        <v>16636.73044759758</v>
      </c>
    </row>
    <row r="12" spans="1:8" x14ac:dyDescent="0.25">
      <c r="A12" s="163" t="s">
        <v>60</v>
      </c>
      <c r="B12" s="167">
        <f>VLOOKUP('Average wages'!A12,Sheet2!A$2:B$41,2,FALSE)</f>
        <v>45718.788867146606</v>
      </c>
    </row>
    <row r="13" spans="1:8" x14ac:dyDescent="0.25">
      <c r="A13" s="163" t="s">
        <v>61</v>
      </c>
      <c r="B13" s="167">
        <f>VLOOKUP('Average wages'!A13,Sheet2!A$2:B$41,2,FALSE)</f>
        <v>38187.939912298869</v>
      </c>
    </row>
    <row r="14" spans="1:8" x14ac:dyDescent="0.25">
      <c r="A14" s="163" t="s">
        <v>62</v>
      </c>
      <c r="B14" s="167">
        <f>VLOOKUP('Average wages'!A14,Sheet2!A$2:B$41,2,FALSE)</f>
        <v>52103.835231553465</v>
      </c>
    </row>
    <row r="15" spans="1:8" x14ac:dyDescent="0.25">
      <c r="A15" s="163" t="s">
        <v>63</v>
      </c>
      <c r="B15" s="167">
        <f>VLOOKUP('Average wages'!A15,Sheet2!A$2:B$41,2,FALSE)</f>
        <v>21139.214692709902</v>
      </c>
    </row>
    <row r="16" spans="1:8" x14ac:dyDescent="0.25">
      <c r="A16" s="163" t="s">
        <v>64</v>
      </c>
      <c r="B16" s="170">
        <f>VLOOKUP('Average wages'!A16,Sheet2!A$2:B$41,2,FALSE)</f>
        <v>5011589.76554434</v>
      </c>
    </row>
    <row r="17" spans="1:2" x14ac:dyDescent="0.25">
      <c r="A17" s="163" t="s">
        <v>65</v>
      </c>
      <c r="B17" s="171">
        <f>VLOOKUP('Average wages'!A17,Sheet2!A$2:B$41,2,FALSE)</f>
        <v>9247101.3906362541</v>
      </c>
    </row>
    <row r="18" spans="1:2" x14ac:dyDescent="0.25">
      <c r="A18" s="163" t="s">
        <v>66</v>
      </c>
      <c r="B18" s="167">
        <f>VLOOKUP('Average wages'!A18,Sheet2!A$2:B$41,2,FALSE)</f>
        <v>46685.057918941704</v>
      </c>
    </row>
    <row r="19" spans="1:2" x14ac:dyDescent="0.25">
      <c r="A19" s="163" t="s">
        <v>67</v>
      </c>
      <c r="B19" s="172">
        <f>VLOOKUP('Average wages'!A19,Sheet2!A$2:B$41,2,FALSE)</f>
        <v>157092.64219875442</v>
      </c>
    </row>
    <row r="20" spans="1:2" x14ac:dyDescent="0.25">
      <c r="A20" s="163" t="s">
        <v>68</v>
      </c>
      <c r="B20" s="167">
        <f>VLOOKUP('Average wages'!A20,Sheet2!A$2:B$41,2,FALSE)</f>
        <v>30232.942350027566</v>
      </c>
    </row>
    <row r="21" spans="1:2" x14ac:dyDescent="0.25">
      <c r="A21" s="163" t="s">
        <v>69</v>
      </c>
      <c r="B21" s="173">
        <f>VLOOKUP('Average wages'!A21,Sheet2!A$2:B$41,2,FALSE)</f>
        <v>5185180.8843894061</v>
      </c>
    </row>
    <row r="22" spans="1:2" x14ac:dyDescent="0.25">
      <c r="A22" s="163" t="s">
        <v>70</v>
      </c>
      <c r="B22" s="174">
        <f>VLOOKUP('Average wages'!A22,Sheet2!A$2:B$41,2,FALSE)</f>
        <v>46020316.112404078</v>
      </c>
    </row>
    <row r="23" spans="1:2" x14ac:dyDescent="0.25">
      <c r="A23" s="164" t="s">
        <v>85</v>
      </c>
      <c r="B23" s="167">
        <f>VLOOKUP('Average wages'!A23,Sheet2!A$2:B$41,2,FALSE)</f>
        <v>12912.652792147241</v>
      </c>
    </row>
    <row r="24" spans="1:2" x14ac:dyDescent="0.25">
      <c r="A24" s="164" t="s">
        <v>86</v>
      </c>
      <c r="B24" s="167">
        <f>VLOOKUP('Average wages'!A24,Sheet2!A$2:B$41,2,FALSE)</f>
        <v>16425.518309918611</v>
      </c>
    </row>
    <row r="25" spans="1:2" x14ac:dyDescent="0.25">
      <c r="A25" s="163" t="s">
        <v>71</v>
      </c>
      <c r="B25" s="167">
        <f>VLOOKUP('Average wages'!A25,Sheet2!A$2:B$41,2,FALSE)</f>
        <v>58039.910713162288</v>
      </c>
    </row>
    <row r="26" spans="1:2" x14ac:dyDescent="0.25">
      <c r="A26" s="163" t="s">
        <v>72</v>
      </c>
      <c r="B26" s="167">
        <f>VLOOKUP('Average wages'!A26,Sheet2!A$2:B$41,2,FALSE)</f>
        <v>54842.870772855691</v>
      </c>
    </row>
    <row r="27" spans="1:2" x14ac:dyDescent="0.25">
      <c r="A27" s="163" t="s">
        <v>187</v>
      </c>
      <c r="B27" s="183">
        <f>VLOOKUP('Average wages'!A27,Sheet2!A$2:B$41,2,FALSE)</f>
        <v>64150</v>
      </c>
    </row>
    <row r="28" spans="1:2" x14ac:dyDescent="0.25">
      <c r="A28" s="163" t="s">
        <v>73</v>
      </c>
      <c r="B28" s="175">
        <f>VLOOKUP('Average wages'!A28,Sheet2!A$2:B$41,2,FALSE)</f>
        <v>627369.60910695046</v>
      </c>
    </row>
    <row r="29" spans="1:2" x14ac:dyDescent="0.25">
      <c r="A29" s="163" t="s">
        <v>244</v>
      </c>
      <c r="B29" s="176">
        <f>VLOOKUP('Average wages'!A29,Sheet2!A$2:B$41,2,FALSE)</f>
        <v>60914.712605537614</v>
      </c>
    </row>
    <row r="30" spans="1:2" x14ac:dyDescent="0.25">
      <c r="A30" s="163" t="s">
        <v>74</v>
      </c>
      <c r="B30" s="167">
        <f>VLOOKUP('Average wages'!A30,Sheet2!A$2:B$41,2,FALSE)</f>
        <v>19477.757160093603</v>
      </c>
    </row>
    <row r="31" spans="1:2" x14ac:dyDescent="0.25">
      <c r="A31" s="163" t="s">
        <v>75</v>
      </c>
      <c r="B31" s="167">
        <f>VLOOKUP('Average wages'!A31,Sheet2!A$2:B$41,2,FALSE)</f>
        <v>13200.3067695726</v>
      </c>
    </row>
    <row r="32" spans="1:2" x14ac:dyDescent="0.25">
      <c r="A32" s="163" t="s">
        <v>76</v>
      </c>
      <c r="B32" s="167">
        <f>VLOOKUP('Average wages'!A32,Sheet2!A$2:B$41,2,FALSE)</f>
        <v>20424.328424568183</v>
      </c>
    </row>
    <row r="33" spans="1:2" x14ac:dyDescent="0.25">
      <c r="A33" s="163" t="s">
        <v>77</v>
      </c>
      <c r="B33" s="167">
        <f>VLOOKUP('Average wages'!A33,Sheet2!A$2:B$41,2,FALSE)</f>
        <v>26934.235867848995</v>
      </c>
    </row>
    <row r="34" spans="1:2" x14ac:dyDescent="0.25">
      <c r="A34" s="163" t="s">
        <v>78</v>
      </c>
      <c r="B34" s="175">
        <f>VLOOKUP('Average wages'!A34,Sheet2!A$2:B$41,2,FALSE)</f>
        <v>465766.79293861403</v>
      </c>
    </row>
    <row r="35" spans="1:2" x14ac:dyDescent="0.25">
      <c r="A35" s="163" t="s">
        <v>79</v>
      </c>
      <c r="B35" s="179">
        <f>VLOOKUP('Average wages'!A35,Sheet2!A$2:B$41,2,FALSE)</f>
        <v>87362.859042697499</v>
      </c>
    </row>
    <row r="36" spans="1:2" x14ac:dyDescent="0.25">
      <c r="A36" s="163" t="s">
        <v>80</v>
      </c>
      <c r="B36" s="177">
        <f>VLOOKUP('Average wages'!A36,Sheet2!A$2:B$41,2,FALSE)</f>
        <v>74751</v>
      </c>
    </row>
    <row r="37" spans="1:2" x14ac:dyDescent="0.25">
      <c r="A37" s="163" t="s">
        <v>81</v>
      </c>
      <c r="B37" s="178">
        <f>VLOOKUP('Average wages'!A37,Sheet2!A$2:B$41,2,FALSE)</f>
        <v>41807.284682417005</v>
      </c>
    </row>
    <row r="38" spans="1:2" x14ac:dyDescent="0.25">
      <c r="A38" s="163" t="s">
        <v>316</v>
      </c>
      <c r="B38" s="183">
        <f>VLOOKUP('Average wages'!A38,Sheet2!A$2:B$41,2,FALSE)</f>
        <v>60220.387317486115</v>
      </c>
    </row>
    <row r="39" spans="1:2" x14ac:dyDescent="0.25">
      <c r="A39" s="184" t="s">
        <v>82</v>
      </c>
      <c r="B39" s="185"/>
    </row>
    <row r="40" spans="1:2" x14ac:dyDescent="0.25">
      <c r="A40" s="164" t="s">
        <v>83</v>
      </c>
      <c r="B40" s="180">
        <f>VLOOKUP('Average wages'!A40,Sheet2!A$2:B$41,2,FALSE)</f>
        <v>16095.170639844899</v>
      </c>
    </row>
    <row r="41" spans="1:2" x14ac:dyDescent="0.25">
      <c r="A41" s="164" t="s">
        <v>84</v>
      </c>
      <c r="B41" s="181">
        <f>VLOOKUP('Average wages'!A41,Sheet2!A$2:B$41,2,FALSE)</f>
        <v>103514.31578889703</v>
      </c>
    </row>
    <row r="42" spans="1:2" x14ac:dyDescent="0.25">
      <c r="A42" s="164" t="s">
        <v>585</v>
      </c>
      <c r="B42" s="167">
        <f>VLOOKUP('Average wages'!A42,Sheet2!A$2:B$41,2,FALSE)</f>
        <v>23162.833250693464</v>
      </c>
    </row>
    <row r="43" spans="1:2" x14ac:dyDescent="0.25">
      <c r="A43" s="164" t="s">
        <v>192</v>
      </c>
      <c r="B43" s="167">
        <f>VLOOKUP('Average wages'!A43,Sheet2!A$2:B$41,2,FALSE)</f>
        <v>25902</v>
      </c>
    </row>
    <row r="44" spans="1:2" x14ac:dyDescent="0.25">
      <c r="A44" s="165" t="s">
        <v>87</v>
      </c>
      <c r="B44" s="182">
        <f>VLOOKUP('Average wages'!A44,Sheet2!A$2:B$41,2,FALSE)</f>
        <v>65148</v>
      </c>
    </row>
    <row r="46" spans="1:2" x14ac:dyDescent="0.25">
      <c r="A46" s="30" t="s">
        <v>88</v>
      </c>
    </row>
    <row r="47" spans="1:2" x14ac:dyDescent="0.25">
      <c r="A47" s="186" t="s">
        <v>586</v>
      </c>
    </row>
  </sheetData>
  <mergeCells count="2">
    <mergeCell ref="A1:B1"/>
    <mergeCell ref="A2:B2"/>
  </mergeCells>
  <pageMargins left="0.7" right="0.7" top="0.75" bottom="0.75" header="0.3" footer="0.3"/>
  <pageSetup paperSize="9" orientation="portrait" r:id="rId1"/>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Unemployment Insurance</vt:lpstr>
      <vt:lpstr>Unemployment Assistance</vt:lpstr>
      <vt:lpstr>Social Assistance</vt:lpstr>
      <vt:lpstr>Housing Benefits</vt:lpstr>
      <vt:lpstr>Family provisions</vt:lpstr>
      <vt:lpstr>Employment-related provisions</vt:lpstr>
      <vt:lpstr>Tax treatment of benefits</vt:lpstr>
      <vt:lpstr>Average wages</vt:lpstr>
      <vt:lpstr>Sheet2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BROWNE James</dc:creator>
  <cp:lastModifiedBy>PACIFICO Daniele, ELS/JAI</cp:lastModifiedBy>
  <dcterms:created xsi:type="dcterms:W3CDTF">2018-05-25T08:34:50Z</dcterms:created>
  <dcterms:modified xsi:type="dcterms:W3CDTF">2025-03-04T14:56:18Z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2025-03-04T14:56:18Z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34d978f4-f288-457d-9077-2192fcbd596b</vt:lpwstr>
  </property>
  <property fmtid="{D5CDD505-2E9C-101B-9397-08002B2CF9AE}" pid="8" name="MSIP_Label_0e5510b0-e729-4ef0-a3dd-4ba0dfe56c99_ContentBits">
    <vt:lpwstr>2</vt:lpwstr>
  </property>
</Properties>
</file>