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V:\TAXBEN\BACKUP\Projects\Policy-tables\2018\"/>
    </mc:Choice>
  </mc:AlternateContent>
  <xr:revisionPtr revIDLastSave="0" documentId="13_ncr:1_{8BE8D27A-7910-4658-9FE1-2C09DADA55D9}" xr6:coauthVersionLast="47" xr6:coauthVersionMax="47" xr10:uidLastSave="{00000000-0000-0000-0000-000000000000}"/>
  <bookViews>
    <workbookView xWindow="-108" yWindow="-108" windowWidth="23256" windowHeight="12456" tabRatio="761" xr2:uid="{00000000-000D-0000-FFFF-FFFF00000000}"/>
  </bookViews>
  <sheets>
    <sheet name="README" sheetId="1" r:id="rId1"/>
    <sheet name="Unemployment Insurance" sheetId="4" r:id="rId2"/>
    <sheet name="Unemployment Assistance" sheetId="5" r:id="rId3"/>
    <sheet name="Social Assistance" sheetId="6" r:id="rId4"/>
    <sheet name="Housing Benefits" sheetId="7" r:id="rId5"/>
    <sheet name="Family provisions" sheetId="8" r:id="rId6"/>
    <sheet name="Employment-related provisions" sheetId="9" r:id="rId7"/>
    <sheet name="Tax treatment of benefits" sheetId="10" r:id="rId8"/>
    <sheet name="Average wages" sheetId="11" r:id="rId9"/>
    <sheet name="Sheet2" sheetId="12" state="hidden"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9" l="1"/>
  <c r="K106" i="8"/>
  <c r="K105" i="8"/>
  <c r="K58" i="8"/>
  <c r="K10" i="8"/>
  <c r="F22" i="5" l="1"/>
  <c r="F18" i="5"/>
  <c r="B41" i="11"/>
  <c r="J140" i="8" l="1"/>
  <c r="J139" i="8"/>
  <c r="K139" i="8"/>
  <c r="K140" i="8"/>
  <c r="P51" i="6"/>
  <c r="Q51" i="6"/>
  <c r="L48" i="4"/>
  <c r="L49" i="4"/>
  <c r="B4" i="11"/>
  <c r="Q12" i="6" l="1"/>
  <c r="K12" i="5"/>
  <c r="G19" i="8"/>
  <c r="G18" i="8"/>
  <c r="G17" i="8"/>
  <c r="J12" i="8" l="1"/>
  <c r="G12" i="8"/>
  <c r="J11" i="8"/>
  <c r="G11" i="8"/>
  <c r="J10" i="8"/>
  <c r="G10" i="8"/>
  <c r="I11" i="7"/>
  <c r="T12" i="6"/>
  <c r="P12" i="6"/>
  <c r="K12" i="6"/>
  <c r="L12" i="6" s="1"/>
  <c r="J12" i="5"/>
  <c r="N12" i="6" l="1"/>
  <c r="T46" i="6" l="1"/>
  <c r="B46" i="6"/>
  <c r="B5" i="11" l="1"/>
  <c r="B6" i="11"/>
  <c r="B7" i="11"/>
  <c r="B8" i="11"/>
  <c r="B9" i="11"/>
  <c r="K16" i="4" s="1"/>
  <c r="B10" i="11"/>
  <c r="B11" i="11"/>
  <c r="J15" i="5" s="1"/>
  <c r="B12" i="11"/>
  <c r="B13" i="11"/>
  <c r="B14" i="11"/>
  <c r="B15" i="11"/>
  <c r="B16" i="11"/>
  <c r="B17" i="11"/>
  <c r="B18" i="11"/>
  <c r="L19" i="9" s="1"/>
  <c r="B19" i="11"/>
  <c r="G70" i="8" s="1"/>
  <c r="B20" i="11"/>
  <c r="B21" i="11"/>
  <c r="B22" i="11"/>
  <c r="B23" i="11"/>
  <c r="B24" i="11"/>
  <c r="B25" i="11"/>
  <c r="B26" i="11"/>
  <c r="B27" i="11"/>
  <c r="B28" i="11"/>
  <c r="B29" i="11"/>
  <c r="K108" i="8" s="1"/>
  <c r="B30" i="11"/>
  <c r="B31" i="11"/>
  <c r="B32" i="11"/>
  <c r="B33" i="11"/>
  <c r="L40" i="9" s="1"/>
  <c r="B34" i="11"/>
  <c r="B35" i="11"/>
  <c r="B36" i="11"/>
  <c r="B37" i="11"/>
  <c r="B39" i="11"/>
  <c r="B40" i="11"/>
  <c r="B42" i="11"/>
  <c r="J82" i="8" s="1"/>
  <c r="B43" i="11"/>
  <c r="B44" i="11"/>
  <c r="K136" i="8" l="1"/>
  <c r="K137" i="8" s="1"/>
  <c r="J136" i="8"/>
  <c r="J137" i="8" s="1"/>
  <c r="D34" i="4"/>
  <c r="L31" i="9"/>
  <c r="K101" i="8"/>
  <c r="J53" i="8"/>
  <c r="K52" i="8"/>
  <c r="K20" i="5"/>
  <c r="K21" i="5" s="1"/>
  <c r="K19" i="5"/>
  <c r="M19" i="5"/>
  <c r="J21" i="5"/>
  <c r="J20" i="5"/>
  <c r="J19" i="5"/>
  <c r="J134" i="8"/>
  <c r="J133" i="8"/>
  <c r="K133" i="8"/>
  <c r="K49" i="6"/>
  <c r="N49" i="6"/>
  <c r="M49" i="6"/>
  <c r="L49" i="6"/>
  <c r="L30" i="9"/>
  <c r="L29" i="9"/>
  <c r="L28" i="9"/>
  <c r="J93" i="8"/>
  <c r="J96" i="8"/>
  <c r="K96" i="8"/>
  <c r="K23" i="5"/>
  <c r="J23" i="5"/>
  <c r="L17" i="9"/>
  <c r="Q23" i="6"/>
  <c r="K18" i="5"/>
  <c r="L43" i="9"/>
  <c r="J127" i="8"/>
  <c r="J41" i="7"/>
  <c r="P47" i="6"/>
  <c r="L27" i="9"/>
  <c r="J27" i="9"/>
  <c r="K20" i="4"/>
  <c r="L16" i="9"/>
  <c r="J17" i="5"/>
  <c r="P15" i="9"/>
  <c r="O15" i="9"/>
  <c r="L15" i="9"/>
  <c r="J15" i="9"/>
  <c r="P21" i="6"/>
  <c r="K16" i="5"/>
  <c r="J16" i="5"/>
  <c r="L41" i="9"/>
  <c r="P45" i="6"/>
  <c r="O41" i="4"/>
  <c r="P23" i="9"/>
  <c r="O24" i="9"/>
  <c r="O23" i="9"/>
  <c r="P24" i="9"/>
  <c r="L24" i="9"/>
  <c r="L23" i="9"/>
  <c r="K78" i="8"/>
  <c r="J79" i="8"/>
  <c r="J119" i="8"/>
  <c r="M27" i="5"/>
  <c r="J27" i="5"/>
  <c r="H25" i="5"/>
  <c r="H26" i="5" s="1"/>
  <c r="H27" i="5" s="1"/>
  <c r="H28" i="5" s="1"/>
  <c r="J25" i="5"/>
  <c r="L30" i="6"/>
  <c r="K30" i="6"/>
  <c r="G75" i="8"/>
  <c r="G74" i="8"/>
  <c r="G73" i="8"/>
  <c r="G72" i="8"/>
  <c r="G71" i="8"/>
  <c r="N30" i="6"/>
  <c r="M30" i="6"/>
  <c r="J72" i="8"/>
  <c r="K73" i="8"/>
  <c r="J73" i="8"/>
  <c r="L13" i="9"/>
  <c r="J29" i="8"/>
  <c r="J28" i="8"/>
  <c r="P39" i="9"/>
  <c r="K114" i="8"/>
  <c r="K14" i="4"/>
  <c r="P11" i="9"/>
  <c r="O11" i="9"/>
  <c r="L12" i="9"/>
  <c r="L11" i="9"/>
  <c r="J20" i="8"/>
  <c r="J27" i="8"/>
  <c r="J24" i="8"/>
  <c r="J25" i="8" s="1"/>
  <c r="J23" i="8"/>
  <c r="J22" i="8"/>
  <c r="J21" i="8"/>
  <c r="G25" i="8"/>
  <c r="G24" i="8"/>
  <c r="G23" i="8"/>
  <c r="G22" i="8"/>
  <c r="G21" i="8"/>
  <c r="G20" i="8"/>
  <c r="G26" i="8"/>
  <c r="N15" i="6"/>
  <c r="M15" i="6"/>
  <c r="L15" i="6"/>
  <c r="K15" i="6"/>
  <c r="K107" i="8"/>
  <c r="J105" i="8"/>
  <c r="J107" i="8"/>
  <c r="J104" i="8"/>
  <c r="J106" i="8" s="1"/>
  <c r="G50" i="4"/>
  <c r="J145" i="8"/>
  <c r="J146" i="8" s="1"/>
  <c r="N53" i="6"/>
  <c r="M53" i="6"/>
  <c r="L53" i="6"/>
  <c r="K53" i="6"/>
  <c r="K41" i="6"/>
  <c r="O37" i="9"/>
  <c r="P37" i="9" s="1"/>
  <c r="L37" i="9"/>
  <c r="J36" i="9"/>
  <c r="J37" i="9" s="1"/>
  <c r="J34" i="9"/>
  <c r="P10" i="9"/>
  <c r="O10" i="9"/>
  <c r="L10" i="9"/>
  <c r="L9" i="9"/>
  <c r="J18" i="8"/>
  <c r="G27" i="8"/>
  <c r="P14" i="6"/>
  <c r="N14" i="6"/>
  <c r="M14" i="6"/>
  <c r="L14" i="6"/>
  <c r="K14" i="6"/>
  <c r="G49" i="4"/>
  <c r="P47" i="9"/>
  <c r="O47" i="9"/>
  <c r="L47" i="9"/>
  <c r="J143" i="8"/>
  <c r="J142" i="8"/>
  <c r="K143" i="8"/>
  <c r="Q52" i="6"/>
  <c r="M52" i="6"/>
  <c r="L52" i="6"/>
  <c r="K52" i="6"/>
  <c r="K32" i="5"/>
  <c r="J32" i="5"/>
  <c r="J58" i="8"/>
  <c r="J57" i="8"/>
  <c r="J13" i="8"/>
  <c r="K13" i="5"/>
  <c r="L43" i="4"/>
  <c r="K43" i="4"/>
  <c r="K22" i="4"/>
  <c r="G22" i="4"/>
  <c r="K27" i="4"/>
  <c r="G27" i="4"/>
  <c r="L19" i="4"/>
  <c r="G19" i="4"/>
  <c r="L21" i="4"/>
  <c r="D21" i="4"/>
  <c r="J13" i="4"/>
  <c r="H13" i="4"/>
  <c r="K13" i="4"/>
  <c r="G35" i="4"/>
  <c r="H35" i="4"/>
  <c r="K42" i="4"/>
  <c r="J42" i="4"/>
  <c r="G102" i="8"/>
  <c r="G99" i="8"/>
  <c r="M38" i="6"/>
  <c r="P31" i="9"/>
  <c r="J100" i="8"/>
  <c r="I33" i="7"/>
  <c r="L38" i="6"/>
  <c r="O31" i="9"/>
  <c r="G101" i="8"/>
  <c r="J101" i="8"/>
  <c r="G98" i="8"/>
  <c r="K38" i="6"/>
  <c r="G100" i="8"/>
  <c r="G103" i="8"/>
  <c r="J99" i="8"/>
  <c r="G97" i="8"/>
  <c r="N38" i="6"/>
  <c r="J34" i="4"/>
  <c r="K34" i="4"/>
  <c r="P20" i="9"/>
  <c r="G68" i="8"/>
  <c r="G69" i="8"/>
  <c r="G66" i="8"/>
  <c r="P29" i="6"/>
  <c r="O20" i="9"/>
  <c r="G67" i="8"/>
  <c r="N29" i="6"/>
  <c r="G65" i="8"/>
  <c r="M29" i="6"/>
  <c r="I24" i="7"/>
  <c r="L29" i="6"/>
  <c r="K29" i="6"/>
  <c r="K26" i="4"/>
  <c r="K23" i="4"/>
  <c r="J23" i="4"/>
  <c r="K46" i="4"/>
  <c r="J46" i="4"/>
  <c r="O41" i="9"/>
  <c r="G122" i="8"/>
  <c r="N45" i="6"/>
  <c r="M45" i="6"/>
  <c r="L45" i="6"/>
  <c r="K41" i="4"/>
  <c r="G123" i="8"/>
  <c r="I41" i="4"/>
  <c r="K45" i="6"/>
  <c r="P28" i="6"/>
  <c r="G64" i="8"/>
  <c r="I23" i="7"/>
  <c r="K23" i="6"/>
  <c r="K21" i="4"/>
  <c r="D17" i="4"/>
  <c r="I16" i="7"/>
  <c r="K49" i="4"/>
  <c r="J49" i="4"/>
  <c r="K47" i="6"/>
  <c r="G126" i="8"/>
  <c r="G91" i="8"/>
  <c r="I31" i="7"/>
  <c r="K36" i="6"/>
  <c r="G89" i="8"/>
  <c r="P36" i="6"/>
  <c r="G88" i="8"/>
  <c r="J33" i="4"/>
  <c r="G92" i="8"/>
  <c r="G90" i="8"/>
  <c r="F92" i="8"/>
  <c r="J89" i="8"/>
  <c r="L12" i="4"/>
  <c r="K12" i="4"/>
  <c r="K44" i="4"/>
  <c r="O43" i="9"/>
  <c r="P43" i="9"/>
  <c r="G127" i="8"/>
  <c r="J126" i="8"/>
  <c r="J129" i="8"/>
  <c r="M47" i="6"/>
  <c r="G129" i="8"/>
  <c r="G128" i="8"/>
  <c r="L47" i="6"/>
  <c r="J44" i="4"/>
  <c r="N47" i="6"/>
  <c r="N44" i="4"/>
  <c r="L36" i="6"/>
  <c r="M36" i="6"/>
  <c r="N36" i="6"/>
  <c r="K33" i="4"/>
  <c r="P24" i="6"/>
  <c r="G45" i="8"/>
  <c r="N23" i="6"/>
  <c r="G51" i="8"/>
  <c r="I20" i="7"/>
  <c r="M23" i="6"/>
  <c r="J31" i="8"/>
  <c r="N19" i="6"/>
  <c r="L19" i="6"/>
  <c r="G31" i="8"/>
  <c r="K19" i="6"/>
  <c r="G33" i="8"/>
  <c r="M19" i="6"/>
  <c r="G32" i="8"/>
  <c r="K17" i="4"/>
  <c r="I12" i="7"/>
  <c r="G14" i="8"/>
  <c r="L8" i="9"/>
  <c r="G13" i="8"/>
  <c r="G16" i="8"/>
  <c r="G15" i="8"/>
  <c r="P40" i="9"/>
  <c r="G120" i="8"/>
  <c r="L44" i="6"/>
  <c r="J40" i="4"/>
  <c r="O40" i="9"/>
  <c r="I38" i="7"/>
  <c r="K44" i="6"/>
  <c r="N44" i="6"/>
  <c r="J29" i="5"/>
  <c r="G121" i="8"/>
  <c r="M44" i="6"/>
  <c r="K40" i="4"/>
  <c r="G63" i="8"/>
  <c r="F61" i="8"/>
  <c r="P18" i="9"/>
  <c r="K61" i="8"/>
  <c r="G60" i="8"/>
  <c r="L18" i="9"/>
  <c r="J61" i="8"/>
  <c r="J62" i="8" s="1"/>
  <c r="G61" i="8"/>
  <c r="G62" i="8" s="1"/>
  <c r="J77" i="8"/>
  <c r="I26" i="7"/>
  <c r="M31" i="6"/>
  <c r="J28" i="4"/>
  <c r="P31" i="6"/>
  <c r="G76" i="8"/>
  <c r="G77" i="8"/>
  <c r="Q31" i="6"/>
  <c r="L31" i="6"/>
  <c r="J76" i="8"/>
  <c r="K31" i="6"/>
  <c r="N31" i="6"/>
  <c r="K28" i="4"/>
  <c r="K28" i="6"/>
  <c r="K25" i="4"/>
  <c r="K22" i="5"/>
  <c r="J25" i="4"/>
  <c r="M28" i="6"/>
  <c r="N28" i="6" s="1"/>
  <c r="J22" i="5"/>
  <c r="G25" i="4"/>
  <c r="L28" i="6"/>
  <c r="P42" i="9"/>
  <c r="J125" i="8"/>
  <c r="G124" i="8"/>
  <c r="O42" i="9"/>
  <c r="G125" i="8"/>
  <c r="I40" i="7"/>
  <c r="L42" i="9"/>
  <c r="K124" i="8"/>
  <c r="J124" i="8"/>
  <c r="K46" i="6"/>
  <c r="P46" i="6"/>
  <c r="K30" i="5"/>
  <c r="J30" i="5"/>
  <c r="L46" i="6"/>
  <c r="G43" i="4"/>
  <c r="L23" i="6"/>
  <c r="N13" i="6"/>
  <c r="M13" i="6"/>
  <c r="J13" i="5"/>
  <c r="C12" i="4"/>
  <c r="L13" i="6"/>
  <c r="K13" i="6"/>
  <c r="N24" i="6"/>
  <c r="P17" i="9"/>
  <c r="P23" i="6"/>
  <c r="M24" i="6"/>
  <c r="O17" i="9"/>
  <c r="L24" i="6"/>
  <c r="K24" i="6"/>
  <c r="G48" i="8"/>
  <c r="G47" i="8"/>
  <c r="G50" i="8"/>
  <c r="G46" i="8"/>
  <c r="G49" i="8"/>
  <c r="J18" i="5"/>
  <c r="M42" i="6"/>
  <c r="N42" i="6" s="1"/>
  <c r="J114" i="8"/>
  <c r="J118" i="8" s="1"/>
  <c r="K42" i="6"/>
  <c r="K38" i="4"/>
  <c r="I36" i="7"/>
  <c r="G115" i="8"/>
  <c r="G118" i="8"/>
  <c r="M41" i="6"/>
  <c r="L35" i="9"/>
  <c r="F112" i="8"/>
  <c r="G112" i="8"/>
  <c r="N41" i="6"/>
  <c r="P34" i="9"/>
  <c r="G111" i="8"/>
  <c r="K37" i="4"/>
  <c r="L36" i="9"/>
  <c r="O34" i="9"/>
  <c r="G113" i="8"/>
  <c r="L41" i="6"/>
  <c r="G114" i="8"/>
  <c r="J115" i="8"/>
  <c r="G110" i="8"/>
  <c r="K40" i="6"/>
  <c r="J36" i="4"/>
  <c r="K110" i="8"/>
  <c r="J24" i="5"/>
  <c r="J108" i="8"/>
  <c r="J110" i="8" s="1"/>
  <c r="J109" i="8" s="1"/>
  <c r="H24" i="5"/>
  <c r="G109" i="8"/>
  <c r="G108" i="8"/>
  <c r="K36" i="4"/>
  <c r="L42" i="6"/>
  <c r="G116" i="8"/>
  <c r="L39" i="9"/>
  <c r="J38" i="4"/>
  <c r="K118" i="8"/>
  <c r="G117" i="8"/>
  <c r="A49" i="7"/>
  <c r="B149" i="8"/>
  <c r="A53" i="9"/>
  <c r="A55" i="6"/>
  <c r="J26" i="5" l="1"/>
  <c r="J28" i="5"/>
  <c r="J35" i="9"/>
  <c r="J91" i="8"/>
  <c r="J90" i="8"/>
  <c r="M40" i="6"/>
  <c r="N40" i="6" s="1"/>
  <c r="L4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BROWNE James</author>
  </authors>
  <commentList>
    <comment ref="L14" authorId="0" shapeId="0" xr:uid="{00000000-0006-0000-0100-000001000000}">
      <text>
        <r>
          <rPr>
            <b/>
            <sz val="9"/>
            <color indexed="81"/>
            <rFont val="Tahoma"/>
            <family val="2"/>
          </rPr>
          <t>BROWNE James:</t>
        </r>
        <r>
          <rPr>
            <sz val="9"/>
            <color indexed="81"/>
            <rFont val="Tahoma"/>
            <family val="2"/>
          </rPr>
          <t xml:space="preserve">
We have different information in the country chapter, here and in the model. Which is correct?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BACHELET Marion</author>
    <author>BROWNE James</author>
  </authors>
  <commentList>
    <comment ref="Q22" authorId="0" shapeId="0" xr:uid="{00000000-0006-0000-0300-000001000000}">
      <text>
        <r>
          <rPr>
            <b/>
            <sz val="9"/>
            <color indexed="81"/>
            <rFont val="Tahoma"/>
            <family val="2"/>
          </rPr>
          <t>BACHELET Marion:</t>
        </r>
        <r>
          <rPr>
            <sz val="9"/>
            <color indexed="81"/>
            <rFont val="Tahoma"/>
            <family val="2"/>
          </rPr>
          <t xml:space="preserve">
To confirm</t>
        </r>
      </text>
    </comment>
    <comment ref="A24" authorId="1" shapeId="0" xr:uid="{00000000-0006-0000-0300-000002000000}">
      <text>
        <r>
          <rPr>
            <b/>
            <sz val="9"/>
            <color indexed="81"/>
            <rFont val="Tahoma"/>
            <family val="2"/>
          </rPr>
          <t>BROWNE James:</t>
        </r>
        <r>
          <rPr>
            <sz val="9"/>
            <color indexed="81"/>
            <rFont val="Tahoma"/>
            <family val="2"/>
          </rPr>
          <t xml:space="preserve">
Include this here?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RASTRIGINA Olga</author>
  </authors>
  <commentList>
    <comment ref="I7" authorId="0" shapeId="0" xr:uid="{00000000-0006-0000-0400-000001000000}">
      <text>
        <r>
          <rPr>
            <b/>
            <sz val="9"/>
            <color indexed="81"/>
            <rFont val="Tahoma"/>
            <family val="2"/>
          </rPr>
          <t>RASTRIGINA Olga:</t>
        </r>
        <r>
          <rPr>
            <sz val="9"/>
            <color indexed="81"/>
            <rFont val="Tahoma"/>
            <family val="2"/>
          </rPr>
          <t xml:space="preserve">
I think it would be more comparable if we produce this number from the model, e.g. couple with 2 kids, housing cost 20% of AW; set SA to 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RASTRIGINA Olga</author>
  </authors>
  <commentList>
    <comment ref="P14" authorId="0" shapeId="0" xr:uid="{00000000-0006-0000-0600-000001000000}">
      <text>
        <r>
          <rPr>
            <b/>
            <sz val="9"/>
            <color indexed="81"/>
            <rFont val="Tahoma"/>
            <family val="2"/>
          </rPr>
          <t>RASTRIGINA Olga:</t>
        </r>
        <r>
          <rPr>
            <sz val="9"/>
            <color indexed="81"/>
            <rFont val="Tahoma"/>
            <family val="2"/>
          </rPr>
          <t xml:space="preserve">
Not sure how this was computed</t>
        </r>
      </text>
    </comment>
  </commentList>
</comments>
</file>

<file path=xl/sharedStrings.xml><?xml version="1.0" encoding="utf-8"?>
<sst xmlns="http://schemas.openxmlformats.org/spreadsheetml/2006/main" count="4014" uniqueCount="1386">
  <si>
    <t>General notes:</t>
  </si>
  <si>
    <t>1. The following tables give an overview of countries' benefit (and tax systems where applicable) systems. The information is based on the OECD's tax-benefit simulation models (see link below).</t>
  </si>
  <si>
    <t>2. For country-specific information also refer to the country chapters (http://www.oecd.org/els/soc/benefitsandwagescountryspecificinformation.htm); for methodogical questions refer to the methodology document (http://www.oecd.org/els/soc/Methodology_2013.pdf).</t>
  </si>
  <si>
    <t>3. The table "Family provisions" includes benefits and provisions for families and lone parents and covers the classical family benefits. It also includes family-specific provisions that work through the tax system (like tax allowances and (non-wastable) tax credits) and family-specific provisions in the scope of unemployment insurance, unemployment assistance and social assistance system.</t>
  </si>
  <si>
    <t>4. The table "Empl(oyment) cond(itional) provisions" includes benefits and provisions for the employed. It includes in-work benefits, re-employment allowances, provisions through the tax system (like tax allowances and earned income tax credits), preferential treatment of earnings in the means tests of unemployment and social assistance benefits, and schemes available for working parents.</t>
  </si>
  <si>
    <t>5. Some benefits or provisions will show in two tables:</t>
  </si>
  <si>
    <t>Example 1:</t>
  </si>
  <si>
    <t>Example 2:</t>
  </si>
  <si>
    <t>Various provisions for families are conditional on the parents working. Such provisions will show in the table "Family provisions" and the table "Empl(oyment) cond(itional) provisions".</t>
  </si>
  <si>
    <t>Source:</t>
  </si>
  <si>
    <t>http://www.oecd.org/els/soc/benefits-and-wages.htm</t>
  </si>
  <si>
    <t>Unemployment insurance benefits</t>
  </si>
  <si>
    <t>qual table</t>
  </si>
  <si>
    <t>quant  table</t>
  </si>
  <si>
    <t>Source lookup value:</t>
  </si>
  <si>
    <t>PT_UI_name</t>
  </si>
  <si>
    <t>PT_UI_contribution_type</t>
  </si>
  <si>
    <t>PT_UI_empl_contr_condition</t>
  </si>
  <si>
    <t>PT_UI_waiting</t>
  </si>
  <si>
    <t>PT_UI_max_duration</t>
  </si>
  <si>
    <t>PT_UI_perc_rate_initial</t>
  </si>
  <si>
    <t>PT_UI_perc_rate_final</t>
  </si>
  <si>
    <t>PT_UI_reference_earnings</t>
  </si>
  <si>
    <t>PT_UI_benefit_floor_AW</t>
  </si>
  <si>
    <t>PT_UI_benefit_ceiling_AW</t>
  </si>
  <si>
    <t>PT_UI_empl_disreg</t>
  </si>
  <si>
    <t>PT_UI_var_age</t>
  </si>
  <si>
    <t>PT_UI_var_family</t>
  </si>
  <si>
    <t>PT_UI_var_other</t>
  </si>
  <si>
    <t>Programme name, national language</t>
  </si>
  <si>
    <t xml:space="preserve">Insurance is voluntary (V) or automatic / compulsory (C) </t>
  </si>
  <si>
    <t>Previous employment (E) and contribution (C) conditions</t>
  </si>
  <si>
    <t>Waiting period (days)</t>
  </si>
  <si>
    <t>Maximum duration (months)</t>
  </si>
  <si>
    <t>Benefit Calculation</t>
  </si>
  <si>
    <t>Benefit provision for specific groups:
Eligibility (E) or generosity (G) varies by …</t>
  </si>
  <si>
    <t>Initial benefit, % of reference earnings</t>
  </si>
  <si>
    <t>Final benefit (end of entitlement period), % of reference earnings</t>
  </si>
  <si>
    <r>
      <t>Benefit floor</t>
    </r>
    <r>
      <rPr>
        <vertAlign val="superscript"/>
        <sz val="10"/>
        <rFont val="Arial"/>
        <family val="2"/>
      </rPr>
      <t>(3)</t>
    </r>
  </si>
  <si>
    <r>
      <t>Benefit ceiling</t>
    </r>
    <r>
      <rPr>
        <vertAlign val="superscript"/>
        <sz val="10"/>
        <rFont val="Arial"/>
        <family val="2"/>
      </rPr>
      <t>(3)</t>
    </r>
  </si>
  <si>
    <t>Cumulation of earnings and benefits: permitted employment and mechanisms for reducing entitlements</t>
  </si>
  <si>
    <t>% of AW</t>
  </si>
  <si>
    <t>age</t>
  </si>
  <si>
    <t>family situation</t>
  </si>
  <si>
    <t>other</t>
  </si>
  <si>
    <t>[1]</t>
  </si>
  <si>
    <t>[2]</t>
  </si>
  <si>
    <t>[3]</t>
  </si>
  <si>
    <t>[4]</t>
  </si>
  <si>
    <t>[5]</t>
  </si>
  <si>
    <t>[6]</t>
  </si>
  <si>
    <t>[7]</t>
  </si>
  <si>
    <t>[8]</t>
  </si>
  <si>
    <t>[9]</t>
  </si>
  <si>
    <t>[10]</t>
  </si>
  <si>
    <t>[11]</t>
  </si>
  <si>
    <t>[12]</t>
  </si>
  <si>
    <t>[13]</t>
  </si>
  <si>
    <t>[14]</t>
  </si>
  <si>
    <t>OECD countries</t>
  </si>
  <si>
    <t>Austria</t>
  </si>
  <si>
    <r>
      <t>Belgium</t>
    </r>
    <r>
      <rPr>
        <vertAlign val="superscript"/>
        <sz val="9"/>
        <rFont val="Arial"/>
        <family val="2"/>
      </rPr>
      <t>(4)</t>
    </r>
  </si>
  <si>
    <r>
      <t>Canada</t>
    </r>
    <r>
      <rPr>
        <vertAlign val="superscript"/>
        <sz val="9"/>
        <rFont val="Arial"/>
        <family val="2"/>
      </rPr>
      <t>(4)</t>
    </r>
  </si>
  <si>
    <t>Chile</t>
  </si>
  <si>
    <t>Czech Republic</t>
  </si>
  <si>
    <t>Denmark</t>
  </si>
  <si>
    <t>Estonia</t>
  </si>
  <si>
    <t>Finland</t>
  </si>
  <si>
    <t>France</t>
  </si>
  <si>
    <t>Germany</t>
  </si>
  <si>
    <t>Greece</t>
  </si>
  <si>
    <t>Hungary</t>
  </si>
  <si>
    <t>Iceland</t>
  </si>
  <si>
    <t>Ireland</t>
  </si>
  <si>
    <t>Israel</t>
  </si>
  <si>
    <t>Italy</t>
  </si>
  <si>
    <t>Japan</t>
  </si>
  <si>
    <t>Korea</t>
  </si>
  <si>
    <t>Luxembourg</t>
  </si>
  <si>
    <t>Netherlands</t>
  </si>
  <si>
    <t>Norway</t>
  </si>
  <si>
    <r>
      <t>Poland</t>
    </r>
    <r>
      <rPr>
        <vertAlign val="superscript"/>
        <sz val="9"/>
        <rFont val="Arial"/>
        <family val="2"/>
      </rPr>
      <t>(7)</t>
    </r>
  </si>
  <si>
    <t>Portugal</t>
  </si>
  <si>
    <t>Slovak Republic</t>
  </si>
  <si>
    <t>Slovenia</t>
  </si>
  <si>
    <t>Spain</t>
  </si>
  <si>
    <t>Sweden</t>
  </si>
  <si>
    <t>Switzerland</t>
  </si>
  <si>
    <t>Turkey</t>
  </si>
  <si>
    <t>United Kingdom</t>
  </si>
  <si>
    <r>
      <t>United States</t>
    </r>
    <r>
      <rPr>
        <vertAlign val="superscript"/>
        <sz val="9"/>
        <rFont val="Arial"/>
        <family val="2"/>
      </rPr>
      <t>(8)</t>
    </r>
  </si>
  <si>
    <t>Additional EU countries</t>
  </si>
  <si>
    <t>Bulgaria</t>
  </si>
  <si>
    <t>Croatia</t>
  </si>
  <si>
    <t>Latvia</t>
  </si>
  <si>
    <t>Lithuania</t>
  </si>
  <si>
    <t>Romania</t>
  </si>
  <si>
    <t>Notes:</t>
  </si>
  <si>
    <t>1. "n.a." equals not applicable, "..." equals no information available.</t>
  </si>
  <si>
    <t>2.  Gross = gross employment income; SSC = (employee) social security contributions; Net = Gross minus income taxes minus SSC.</t>
  </si>
  <si>
    <t>3.  All amounts are shown on an annualised basis. "--" indicates that there is no such provision. AW = Average Wage of a full-time private sector employee.</t>
  </si>
  <si>
    <t>4. BEL: Maximum benefit ceiling during the first six months of unemployment; benefit floor refers to flat rate paid from the 5th year of unemployment on.</t>
  </si>
  <si>
    <t>5. CAN:  The duration of Employment Insurance (EI) payments depends on the unemployment rate in the relevant EI region. The 40 week duration shown here relates to the unemployment rate of Ontario.</t>
  </si>
  <si>
    <t>6. MLT: Minimum benefit refers to contributory unemployment benefit, maximum benefit to special unemployment benefit6</t>
  </si>
  <si>
    <t>7. POL: The basic amount (see column on intial and final amount) is adjusted with the length of employment record; 80% with less than 5 years, 100% from 5 to 20 years, 120% for more than 20 years. The minimum benefit calculation shows the final basic amount for the first case; the maximum benefit the initial basic for the third case.</t>
  </si>
  <si>
    <r>
      <t>Source:</t>
    </r>
    <r>
      <rPr>
        <sz val="9"/>
        <rFont val="Arial"/>
        <family val="2"/>
      </rPr>
      <t xml:space="preserve"> OECD.</t>
    </r>
  </si>
  <si>
    <t>Arbeitslosengeld</t>
  </si>
  <si>
    <t>E + C: 1 out of last 2 years; 28 weeks in case of repeated unemployment</t>
  </si>
  <si>
    <t>Net</t>
  </si>
  <si>
    <t>n.a.</t>
  </si>
  <si>
    <t>Assurance chômage</t>
  </si>
  <si>
    <t>C</t>
  </si>
  <si>
    <t>E+C: 468 days in 27 months</t>
  </si>
  <si>
    <t>Unlimited</t>
  </si>
  <si>
    <t>Until month 3 (1st period - phase 1): 65%</t>
  </si>
  <si>
    <t>Gross</t>
  </si>
  <si>
    <t>Special UI regimes for young graduates and older unemployed (allocations d'insertions, stage d'insertions professionelle; Prépension (CCT))</t>
  </si>
  <si>
    <t>Employment Insurance</t>
  </si>
  <si>
    <t>None</t>
  </si>
  <si>
    <t>…</t>
  </si>
  <si>
    <t>E + C: 12 months in 2 years</t>
  </si>
  <si>
    <t>Until month 2: 65%</t>
  </si>
  <si>
    <t>From month 5: 45%</t>
  </si>
  <si>
    <t>Earnings of half the minimum wage are permitted; benefit stops if earnings beyond this limit</t>
  </si>
  <si>
    <t>V</t>
  </si>
  <si>
    <t>Gross less 8% SSC</t>
  </si>
  <si>
    <t>Töötuskindlustushüvitis</t>
  </si>
  <si>
    <t>E + C: 12 months in 3 years</t>
  </si>
  <si>
    <t>Until day 100: 50%</t>
  </si>
  <si>
    <t>From day 101: 40%</t>
  </si>
  <si>
    <t>None permitted</t>
  </si>
  <si>
    <t>57% - 75%</t>
  </si>
  <si>
    <t>Permitted up to 70% of reference earnings, 110 hours of work per month and a duration of 16 months; benefit reduced in line with ratio to reference earnings</t>
  </si>
  <si>
    <t>επίδομα ανεργίας</t>
  </si>
  <si>
    <t>E + C: 125 days in last 14 months or 200 days in last two years and for first time unemployed 80 days per year in the last two years</t>
  </si>
  <si>
    <t>Álláskeresési járadék</t>
  </si>
  <si>
    <t>E + C: 360 days in previous 3 years</t>
  </si>
  <si>
    <t>90 days</t>
  </si>
  <si>
    <t>No regular employment permitted, suspension of benefit for short-term (&lt;90 days) and seasonal employment</t>
  </si>
  <si>
    <t>Atvinnuleysisdagpeningar</t>
  </si>
  <si>
    <t>E + C: 3 in last 12 months</t>
  </si>
  <si>
    <t>Jobseeker's benefit</t>
  </si>
  <si>
    <t>C: 104 weekly contributions paid since starting work and 39 of those during the year preceding the benefit year, or 26 weekly contributions paid in each of the two relevant tax years preceding the benefit year</t>
  </si>
  <si>
    <t>דמי אבטלה (יומיים)</t>
  </si>
  <si>
    <t>E + C: 12 in 18 preceeding months</t>
  </si>
  <si>
    <t>No</t>
  </si>
  <si>
    <t>E + C: 6 months in the year preceding unemployment (and more than 11 days of work per month)</t>
  </si>
  <si>
    <t>E + C: 6 out of last 18 months</t>
  </si>
  <si>
    <t>E + C: 26 weeks out of last 12 months</t>
  </si>
  <si>
    <t>E + C for short-term benefit: 26 weeks in last 36 weeks
E + C for medium-term benefit: 26 weeks in last 36 weeks and 4 out of 5 last years</t>
  </si>
  <si>
    <t>Until month 2: 75%</t>
  </si>
  <si>
    <t>From month 3: 70%</t>
  </si>
  <si>
    <t>3 days (registered as unemployed out of last 15 work days)</t>
  </si>
  <si>
    <t>G: + supplement for each child</t>
  </si>
  <si>
    <t>E + C: 12 in last 18 months</t>
  </si>
  <si>
    <t>E + C: 360 days in last 24 months</t>
  </si>
  <si>
    <t>E + C: 24 out of last 36 months</t>
  </si>
  <si>
    <t>C: 360 days in 6 preceding years</t>
  </si>
  <si>
    <t>G: + minimum and maximum benefit more generous for families with children</t>
  </si>
  <si>
    <t>Benefit reduced in proportion to days worked</t>
  </si>
  <si>
    <t>E + C: 12 out of last 24 months</t>
  </si>
  <si>
    <t>E + C: 600 days out of last 36 months, continuously in last 120 days</t>
  </si>
  <si>
    <t>Jobseeker's Allowance (contribution based)</t>
  </si>
  <si>
    <t>C: 12 months in 24</t>
  </si>
  <si>
    <t>--</t>
  </si>
  <si>
    <t>via tax credit system</t>
  </si>
  <si>
    <t>C: Insurance instalments must have been made for at least 9 months out of the last 15 months.</t>
  </si>
  <si>
    <t>E + C: 9 months in last 2 years</t>
  </si>
  <si>
    <t>Nedarbo draudimo išmoka</t>
  </si>
  <si>
    <t>E + C: 50 weeks of which 20 in the last two years</t>
  </si>
  <si>
    <t>E + C: 12 in last 24 months</t>
  </si>
  <si>
    <t>Malta(6)</t>
  </si>
  <si>
    <t>Source: OECD.</t>
  </si>
  <si>
    <t>E + C: 630 hours in 1 year</t>
  </si>
  <si>
    <t>Up to 40% of benefits or CAD3900, whichever higher</t>
  </si>
  <si>
    <t>Seguro de cesantia</t>
  </si>
  <si>
    <t>C: for employees who started working after Oct 2 2002</t>
  </si>
  <si>
    <t>E + C: 12 (6) months of contributions when on permanent (transitory) contract</t>
  </si>
  <si>
    <t>Withdrawals from individual savings account for as long as balance permits</t>
  </si>
  <si>
    <t>Until month 1: 50%</t>
  </si>
  <si>
    <t>From month 7: 20%</t>
  </si>
  <si>
    <t>Podpora v nezaměstnanosti</t>
  </si>
  <si>
    <t>C: basic benefit;
V: earnings-related benefit</t>
  </si>
  <si>
    <t>Gross excluding holiday pay, minus a fraction of SSC</t>
  </si>
  <si>
    <t>For occasional employment (&lt;3 days at a time) benefit is reduced in proportion to the number of hours worked</t>
  </si>
  <si>
    <t>雇用保険・基本手当</t>
  </si>
  <si>
    <t>구직급여</t>
  </si>
  <si>
    <t>100% withdrawal rate; benefit stops if working more than 60 hours per month</t>
  </si>
  <si>
    <t>100% withdrawal rate beyond a disregard of 10% of benefit amount.</t>
  </si>
  <si>
    <t>Gross earnings up to half the minimum gross remuneration (23% of AW) disregarded</t>
  </si>
  <si>
    <t xml:space="preserve">Subisdio de desemprego </t>
  </si>
  <si>
    <t>Until month 6: 65%</t>
  </si>
  <si>
    <t>From month 7: daily benefit amount reduced by 10%</t>
  </si>
  <si>
    <t>Dávka v nezamestnanosti</t>
  </si>
  <si>
    <t>Until month 3: 80%</t>
  </si>
  <si>
    <t>From month 4: 60%</t>
  </si>
  <si>
    <t>Benefit reduced in proportion with working hours, full withdrawal at 20 hours per week</t>
  </si>
  <si>
    <t>Until month 6: 70%</t>
  </si>
  <si>
    <t>From month 7: 50%</t>
  </si>
  <si>
    <t>Benefit reduced in proportion to hours worked</t>
  </si>
  <si>
    <t xml:space="preserve">Benefit entitlement equal to relevant percentage of difference between reference earnings and current earnings, thus for an individual without children benefits are reduced by 70% of earnings. </t>
  </si>
  <si>
    <t>İşsizlik Ödeneği</t>
  </si>
  <si>
    <t>Unemployment Insurance benefits</t>
  </si>
  <si>
    <t>E: 20 weeks (plus minimum earnings requirement)</t>
  </si>
  <si>
    <t>Gross "high quarter earnings" (highest quarterly earnings in the last four completed quarters other than the most recent one)</t>
  </si>
  <si>
    <t>Фонд "Бeзработица" - Обезщетение за безработица</t>
  </si>
  <si>
    <t>C for all employees hired to work for more than five working days or 40 hours during one calendar month.</t>
  </si>
  <si>
    <t>novčana naknada za vrijeme nezaposlenosti</t>
  </si>
  <si>
    <t>Bezdarbnieka pabalsts</t>
  </si>
  <si>
    <t>Indemnizatia de somaj</t>
  </si>
  <si>
    <r>
      <rPr>
        <i/>
        <sz val="9"/>
        <rFont val="Arial"/>
        <family val="2"/>
      </rPr>
      <t>Allocation d'aide au retour à l'emploi</t>
    </r>
    <r>
      <rPr>
        <sz val="9"/>
        <rFont val="Arial"/>
        <family val="2"/>
      </rPr>
      <t xml:space="preserve"> (ARE)</t>
    </r>
  </si>
  <si>
    <r>
      <rPr>
        <i/>
        <sz val="9"/>
        <rFont val="Arial"/>
        <family val="2"/>
      </rPr>
      <t>Arbeitslosengeld</t>
    </r>
    <r>
      <rPr>
        <sz val="9"/>
        <rFont val="Arial"/>
        <family val="2"/>
      </rPr>
      <t xml:space="preserve"> (ALG I)</t>
    </r>
  </si>
  <si>
    <t>PT_UA_name</t>
  </si>
  <si>
    <t>PT_UA_empl_contr_condition</t>
  </si>
  <si>
    <t>PT_UA_waiting</t>
  </si>
  <si>
    <t>PT_UA_max_duration</t>
  </si>
  <si>
    <t>PT_UA_perc_rate_initial</t>
  </si>
  <si>
    <t>PT_UA_perc_rate_final</t>
  </si>
  <si>
    <t>PT_UA_reference_earnings</t>
  </si>
  <si>
    <t>PT_UA_benefit_floor_AW</t>
  </si>
  <si>
    <t>PT_UA_benefit_ceiling_AW</t>
  </si>
  <si>
    <t>PT_UA_empl_disreg</t>
  </si>
  <si>
    <t>PT_UA_var_age</t>
  </si>
  <si>
    <t>PT_UA_var_family</t>
  </si>
  <si>
    <t>PT_UA_var_other</t>
  </si>
  <si>
    <t>Program name in local language</t>
  </si>
  <si>
    <t>Employment record (E) and contribution (C) conditions and relationship to unemployment insurance benefits (UI)</t>
  </si>
  <si>
    <t xml:space="preserve">Benefit provision (eligibility (E), generosity (G)) varies with </t>
  </si>
  <si>
    <t>initial benefit as % of calculation base</t>
  </si>
  <si>
    <t>benefit at the end of legal entitlement period in % of calculation base</t>
  </si>
  <si>
    <r>
      <t>Calculation base</t>
    </r>
    <r>
      <rPr>
        <vertAlign val="superscript"/>
        <sz val="10"/>
        <rFont val="Arial"/>
        <family val="2"/>
      </rPr>
      <t>(1)</t>
    </r>
  </si>
  <si>
    <r>
      <t>Australia</t>
    </r>
    <r>
      <rPr>
        <vertAlign val="superscript"/>
        <sz val="9"/>
        <rFont val="Arial"/>
        <family val="2"/>
      </rPr>
      <t>(4)</t>
    </r>
  </si>
  <si>
    <t>No limit</t>
  </si>
  <si>
    <t>Unemployment solidarity fund of unemployment insurance (if individual savings account without enough resources)</t>
  </si>
  <si>
    <t>Minimum flat rate benefit of 2% of AW if unemployment insurance exhausted</t>
  </si>
  <si>
    <t>Minimum flat rate benefit of 0.9% of AW if unemployment insurance exhausted, 0.75% of AW in case of unemployment rate 1ppt above average rate of four previous years</t>
  </si>
  <si>
    <t>Flat rate of 26%</t>
  </si>
  <si>
    <t>Töötutoetus</t>
  </si>
  <si>
    <t>270 days (including time on unemployment insurance benefit)</t>
  </si>
  <si>
    <t>Työmarkkinatuki</t>
  </si>
  <si>
    <t>E: 5 out of 10 years prior to start of current unemployment spell</t>
  </si>
  <si>
    <r>
      <t>Germany</t>
    </r>
    <r>
      <rPr>
        <vertAlign val="superscript"/>
        <sz val="9"/>
        <rFont val="Arial"/>
        <family val="2"/>
      </rPr>
      <t>(5)</t>
    </r>
  </si>
  <si>
    <t>Jobseeker's allowance</t>
  </si>
  <si>
    <t>UI: not qualify for UI or UI claim exhausted</t>
  </si>
  <si>
    <t>New Zealand</t>
  </si>
  <si>
    <t>Unemployment assistance</t>
  </si>
  <si>
    <t>Subsìdio social de desemprego (subsidio inicial, subsequente)</t>
  </si>
  <si>
    <t xml:space="preserve">G: + longer benefit duration for those aged 52 or over at the start of the period of unemployment. </t>
  </si>
  <si>
    <t>E: + unlimited duration for over 55 year olds</t>
  </si>
  <si>
    <t>Benefit not paid for days worked.</t>
  </si>
  <si>
    <t>G: - benefit proportionally lower for formerly part-time employed</t>
  </si>
  <si>
    <t>Jobseeker's Allowance (income-based)</t>
  </si>
  <si>
    <t>Unemployment Assistance benefits</t>
  </si>
  <si>
    <t>UI: claim exhausted or contribution record too short for UI</t>
  </si>
  <si>
    <r>
      <rPr>
        <i/>
        <sz val="9"/>
        <rFont val="Arial"/>
        <family val="2"/>
      </rPr>
      <t>Allocation de solidarité spécifique</t>
    </r>
    <r>
      <rPr>
        <sz val="9"/>
        <rFont val="Arial"/>
        <family val="2"/>
      </rPr>
      <t xml:space="preserve"> (ASS)</t>
    </r>
  </si>
  <si>
    <t>Malta</t>
  </si>
  <si>
    <t>2. Gross = gross employment income; SSC = (employee) social security contributions; Net = Gross minus income taxes minus SSC.</t>
  </si>
  <si>
    <t>3. All amounts are shown on an annualised basis. "--" indicates that there is no such provision. AW = Average Wage of a full-time private sector employee.</t>
  </si>
  <si>
    <t>4. In Australia recipients of NSA, YA and PP are furthermore entitiled to Clean Energy Advance, Clean Energy Supplement to offset the impacts of carbon pricing introduced in July 2012 and the Income Support bonus to assist with unexpected costs.</t>
  </si>
  <si>
    <t>1. "n.a.": not applicable, "...": information not available.</t>
  </si>
  <si>
    <t>Social Assistance benefits</t>
  </si>
  <si>
    <t>TB outputs</t>
  </si>
  <si>
    <t>PT_SA_name</t>
  </si>
  <si>
    <t>PT_SA_age</t>
  </si>
  <si>
    <t>PT_SA_cond_job_search</t>
  </si>
  <si>
    <t>PT_SA_cond_register</t>
  </si>
  <si>
    <t>PT_SA_cond_participation</t>
  </si>
  <si>
    <t>PT_SA_cond_work</t>
  </si>
  <si>
    <t>PT_SA_cond_other</t>
  </si>
  <si>
    <t>PT_SA_cond_family</t>
  </si>
  <si>
    <t>PT_SA_level</t>
  </si>
  <si>
    <t>PT_SA_other</t>
  </si>
  <si>
    <t>PT_SA_means_test_earnings</t>
  </si>
  <si>
    <t>PT_SA_means_test_earnings_withdrawal</t>
  </si>
  <si>
    <t>PT_SA_means_test_assets</t>
  </si>
  <si>
    <t>PT_SA_means_test_other_ben</t>
  </si>
  <si>
    <t>PT_SA_var_age</t>
  </si>
  <si>
    <t>PT_SA_var_contract</t>
  </si>
  <si>
    <t>PT_SA_var_other</t>
  </si>
  <si>
    <t>Minimum age condition for social assistance receipt</t>
  </si>
  <si>
    <t>Legal behavioural requirements</t>
  </si>
  <si>
    <t>Determination of benefit levels</t>
  </si>
  <si>
    <t>Calculation of social assistance benefit:</t>
  </si>
  <si>
    <t>Means-test for social assistance</t>
  </si>
  <si>
    <r>
      <t>Registration as unemployed</t>
    </r>
    <r>
      <rPr>
        <vertAlign val="superscript"/>
        <sz val="9"/>
        <rFont val="Arial"/>
        <family val="2"/>
      </rPr>
      <t>(2)</t>
    </r>
  </si>
  <si>
    <t>Participation in integration measures</t>
  </si>
  <si>
    <r>
      <t>Active job search</t>
    </r>
    <r>
      <rPr>
        <vertAlign val="superscript"/>
        <sz val="9"/>
        <rFont val="Arial"/>
        <family val="2"/>
      </rPr>
      <t>(2)</t>
    </r>
  </si>
  <si>
    <r>
      <t>Work requirement</t>
    </r>
    <r>
      <rPr>
        <vertAlign val="superscript"/>
        <sz val="9"/>
        <rFont val="Arial"/>
        <family val="2"/>
      </rPr>
      <t>(2)</t>
    </r>
  </si>
  <si>
    <t>Other conditions for receipt of benefit (including requirements for conditional cash transfers (CCT))</t>
  </si>
  <si>
    <t>Legal behavioural requirements for adult family members other than the benefit claimant</t>
  </si>
  <si>
    <t>Single</t>
  </si>
  <si>
    <t>Spouse/ partner</t>
  </si>
  <si>
    <t>Per child</t>
  </si>
  <si>
    <t>Child-related payments to lone parent of (per child)</t>
  </si>
  <si>
    <t>Other supplements to basic benefit (per family)</t>
  </si>
  <si>
    <t>Earnings disregards</t>
  </si>
  <si>
    <t>Benefit withdrawal rate with regard to earned income</t>
  </si>
  <si>
    <t>Assets included in means test?</t>
  </si>
  <si>
    <t>Other benefits included in the means test</t>
  </si>
  <si>
    <t>over time</t>
  </si>
  <si>
    <t>[16]</t>
  </si>
  <si>
    <t>[17]</t>
  </si>
  <si>
    <t>[18]</t>
  </si>
  <si>
    <t>[19]</t>
  </si>
  <si>
    <t>[20]</t>
  </si>
  <si>
    <t>[21]</t>
  </si>
  <si>
    <t>[22]</t>
  </si>
  <si>
    <t>Belgium</t>
  </si>
  <si>
    <t>Czech 
Republic</t>
  </si>
  <si>
    <t xml:space="preserve">France </t>
  </si>
  <si>
    <t>Iceland 
(Reykjavik)</t>
  </si>
  <si>
    <t>Japan
(Tokyo)</t>
  </si>
  <si>
    <r>
      <t>New Zealand</t>
    </r>
    <r>
      <rPr>
        <vertAlign val="superscript"/>
        <sz val="9"/>
        <rFont val="Arial"/>
        <family val="2"/>
      </rPr>
      <t>(4)</t>
    </r>
  </si>
  <si>
    <t>Poland</t>
  </si>
  <si>
    <t>Slovak 
Republic</t>
  </si>
  <si>
    <t>Spain 
(Madrid)</t>
  </si>
  <si>
    <t>Switzerland 
(Zurich)</t>
  </si>
  <si>
    <t>United 
Kingdom</t>
  </si>
  <si>
    <r>
      <rPr>
        <i/>
        <sz val="9"/>
        <rFont val="Arial"/>
        <family val="2"/>
      </rPr>
      <t>Newstart Allowance</t>
    </r>
    <r>
      <rPr>
        <sz val="9"/>
        <rFont val="Arial"/>
        <family val="2"/>
      </rPr>
      <t xml:space="preserve"> (NSA), </t>
    </r>
    <r>
      <rPr>
        <i/>
        <sz val="9"/>
        <rFont val="Arial"/>
        <family val="2"/>
      </rPr>
      <t>Youth Allowance</t>
    </r>
    <r>
      <rPr>
        <sz val="9"/>
        <rFont val="Arial"/>
        <family val="2"/>
      </rPr>
      <t xml:space="preserve"> (YA), </t>
    </r>
    <r>
      <rPr>
        <i/>
        <sz val="9"/>
        <rFont val="Arial"/>
        <family val="2"/>
      </rPr>
      <t>Parenting Payment</t>
    </r>
    <r>
      <rPr>
        <sz val="9"/>
        <rFont val="Arial"/>
        <family val="2"/>
      </rPr>
      <t xml:space="preserve"> (couple) with one member caring for a child under six similar to NSA</t>
    </r>
  </si>
  <si>
    <t>Newstart Allowance (NSA) if 22 or older, Youth Allowance (YA) if under 22</t>
  </si>
  <si>
    <t>Yes</t>
  </si>
  <si>
    <t>National</t>
  </si>
  <si>
    <t>Bedarfsorientierte Mindestsicherung</t>
  </si>
  <si>
    <t>Job search requirement</t>
  </si>
  <si>
    <t>All other benefits</t>
  </si>
  <si>
    <r>
      <rPr>
        <i/>
        <sz val="9"/>
        <rFont val="Arial"/>
        <family val="2"/>
      </rPr>
      <t>Revenu de Moyens d'Existence et d'integration</t>
    </r>
    <r>
      <rPr>
        <sz val="9"/>
        <rFont val="Arial"/>
        <family val="2"/>
      </rPr>
      <t xml:space="preserve"> (often referred to as Minimex), </t>
    </r>
    <r>
      <rPr>
        <i/>
        <sz val="9"/>
        <rFont val="Arial"/>
        <family val="2"/>
      </rPr>
      <t xml:space="preserve">Allocation Familiale Garantie </t>
    </r>
    <r>
      <rPr>
        <sz val="9"/>
        <rFont val="Arial"/>
        <family val="2"/>
      </rPr>
      <t>(AFG) for children under 18(25) without entitlement to any other family benefit</t>
    </r>
  </si>
  <si>
    <t>At discretion of Public Centre for Social Assistance (PCSA)</t>
  </si>
  <si>
    <t>All except family benefits</t>
  </si>
  <si>
    <t>Ontario Works</t>
  </si>
  <si>
    <t>Regional</t>
  </si>
  <si>
    <t>Unemployment benefit including family supplements</t>
  </si>
  <si>
    <r>
      <rPr>
        <i/>
        <sz val="9"/>
        <rFont val="Arial"/>
        <family val="2"/>
      </rPr>
      <t>Bono de Proteccion</t>
    </r>
    <r>
      <rPr>
        <sz val="9"/>
        <rFont val="Arial"/>
        <family val="2"/>
      </rPr>
      <t xml:space="preserve"> in the scope of </t>
    </r>
    <r>
      <rPr>
        <i/>
        <sz val="9"/>
        <rFont val="Arial"/>
        <family val="2"/>
      </rPr>
      <t>Ingreso Ético Familiar</t>
    </r>
  </si>
  <si>
    <t>School assistance and health check-up benefits (see next item)</t>
  </si>
  <si>
    <t>G: - decreases over 24 months, no benefits from month 25 on</t>
  </si>
  <si>
    <r>
      <t>School assistance and health check-up benefits for families with children enrolled in Social Assistance (</t>
    </r>
    <r>
      <rPr>
        <i/>
        <sz val="9"/>
        <rFont val="Arial"/>
        <family val="2"/>
      </rPr>
      <t>Ingreso Ético Familiar</t>
    </r>
    <r>
      <rPr>
        <sz val="9"/>
        <rFont val="Arial"/>
        <family val="2"/>
      </rPr>
      <t>)</t>
    </r>
  </si>
  <si>
    <t>Pomoc v hmotné nouzi</t>
  </si>
  <si>
    <t>If requested have to take up short-term employment, participate in public works or public works service</t>
  </si>
  <si>
    <t>Work availablility and job search requirements apply to all members of the household</t>
  </si>
  <si>
    <t xml:space="preserve">Family benefits and 80% of unemployment benefits </t>
  </si>
  <si>
    <t>Kontanthjælp</t>
  </si>
  <si>
    <t>Unemployment benefits</t>
  </si>
  <si>
    <t>Discretionary</t>
  </si>
  <si>
    <t>Toimeentulotuki</t>
  </si>
  <si>
    <t>All other benefits except for (child) disability allowance, pensioner's care allowance, maternity grant, benefits paid when on activation measures</t>
  </si>
  <si>
    <t>26 (or less if lone parent)</t>
  </si>
  <si>
    <t>Christmas bonus</t>
  </si>
  <si>
    <t>Foglalkoztatást helyettesítő támogatás</t>
  </si>
  <si>
    <t>All other except for housing</t>
  </si>
  <si>
    <t>Local</t>
  </si>
  <si>
    <t>Lone parents' benefit, unemployment benefits</t>
  </si>
  <si>
    <t>גמלה להבטחת הכנסה</t>
  </si>
  <si>
    <t>Employment test also applies to claimant's spouse</t>
  </si>
  <si>
    <t>Unemployment insurance</t>
  </si>
  <si>
    <t>生活保護・生活扶助</t>
  </si>
  <si>
    <t>Winter supplementary assistance from November through March; rent assistance if not eligible for emergency housing assistance</t>
  </si>
  <si>
    <t xml:space="preserve">Housing benefit </t>
  </si>
  <si>
    <t xml:space="preserve">No </t>
  </si>
  <si>
    <t>Unemployment benefit, re-employment allowance</t>
  </si>
  <si>
    <t>Revenu minimum garanti</t>
  </si>
  <si>
    <t>All except family and individual housing benefits</t>
  </si>
  <si>
    <t>Yes (part of work test)</t>
  </si>
  <si>
    <t>Conditions may be set discretionarily</t>
  </si>
  <si>
    <t>Zasiłek okresowy</t>
  </si>
  <si>
    <t>Housing and heating allowance at discretion of Social assistance centres</t>
  </si>
  <si>
    <t>Rendimento social de inserção</t>
  </si>
  <si>
    <t>The Insertion Programme must be established no later than 60 days after granting the benefit.</t>
  </si>
  <si>
    <t>Family members must comply with Insertion Program, otherwise family loses that person's part of the benefit entitlement</t>
  </si>
  <si>
    <t>Unemployment benefit</t>
  </si>
  <si>
    <t>Denarna socialna pomoč</t>
  </si>
  <si>
    <t>Unemployment insurance and assistance benefits</t>
  </si>
  <si>
    <t xml:space="preserve">Ekonomiskt bistånd </t>
  </si>
  <si>
    <t>Rent fully covered</t>
  </si>
  <si>
    <t>Housing costs, allowance for basic medical costs</t>
  </si>
  <si>
    <t>Unemployment insurance and family benefits</t>
  </si>
  <si>
    <t>100%
Benefit fully withdrawn if working 16 or more hours per week</t>
  </si>
  <si>
    <r>
      <rPr>
        <i/>
        <sz val="9"/>
        <rFont val="Arial"/>
        <family val="2"/>
      </rPr>
      <t>Supplemental Nutrition Assistance Program</t>
    </r>
    <r>
      <rPr>
        <sz val="9"/>
        <rFont val="Arial"/>
        <family val="2"/>
      </rPr>
      <t xml:space="preserve"> (SNAP)</t>
    </r>
  </si>
  <si>
    <t>Социално подпомагане - Месечни социални помощи</t>
  </si>
  <si>
    <t>Social assistance recipient of working age must have been registered unemployed for at least six months before filing the application for social support.</t>
  </si>
  <si>
    <t>Social assistance for heating</t>
  </si>
  <si>
    <t>G: + six month waiting period before support received</t>
  </si>
  <si>
    <t>garantētā minimālā ienākuma pabalsts</t>
  </si>
  <si>
    <t>Unemployment benefit, alimony advance payments</t>
  </si>
  <si>
    <t>Social assistance</t>
  </si>
  <si>
    <t>Unemployment insurance and assistance benefit</t>
  </si>
  <si>
    <t>Schema privind venitul minim garantat: ajutorul social pentru asigurarea venitului minim garantat</t>
  </si>
  <si>
    <t>18 (16 for heating allowance)</t>
  </si>
  <si>
    <t>All</t>
  </si>
  <si>
    <t>G: + benefit increased by 15% if at least one family member employed.</t>
  </si>
  <si>
    <r>
      <t>Amounts (in % of AW)</t>
    </r>
    <r>
      <rPr>
        <vertAlign val="superscript"/>
        <sz val="9"/>
        <rFont val="Arial"/>
        <family val="2"/>
      </rPr>
      <t>(3)</t>
    </r>
  </si>
  <si>
    <t>2. Conditions for healthy working-age inviduals.</t>
  </si>
  <si>
    <t>4. AUS and NZL: Low-income individuals actively looking for work typically receive means-tested unemployment assistance benefits (UA) of unlimited duration, also see the descriptions in the table on unemployment assistance.</t>
  </si>
  <si>
    <r>
      <t>Cash housing benefits for rented accomodation</t>
    </r>
    <r>
      <rPr>
        <b/>
        <vertAlign val="superscript"/>
        <sz val="14"/>
        <rFont val="Arial"/>
        <family val="2"/>
      </rPr>
      <t>(1)</t>
    </r>
  </si>
  <si>
    <t>PT_HB_name</t>
  </si>
  <si>
    <t>PT_HB_var_household_size</t>
  </si>
  <si>
    <t>PT_HB_var_income</t>
  </si>
  <si>
    <t>PT_HB_var_house_size</t>
  </si>
  <si>
    <t>PT_HB_var_geo</t>
  </si>
  <si>
    <t>PT_HB_var_rental_cost</t>
  </si>
  <si>
    <t>PT_HB_description</t>
  </si>
  <si>
    <t>PT_HB_max_AW</t>
  </si>
  <si>
    <t>PT_HB_other</t>
  </si>
  <si>
    <t>Regular housing benefits</t>
  </si>
  <si>
    <t>Housing related support through other benefits</t>
  </si>
  <si>
    <t>Entitlement depends on</t>
  </si>
  <si>
    <t>Description of regular housing benefit</t>
  </si>
  <si>
    <t>Household type/size</t>
  </si>
  <si>
    <t>Income</t>
  </si>
  <si>
    <t>Dwelling size</t>
  </si>
  <si>
    <t>Geographic location</t>
  </si>
  <si>
    <t>Actual rental cost</t>
  </si>
  <si>
    <r>
      <t>Maximum benefit amount 
in % of AW</t>
    </r>
    <r>
      <rPr>
        <vertAlign val="superscript"/>
        <sz val="9"/>
        <rFont val="Arial"/>
        <family val="2"/>
      </rPr>
      <t>(3)</t>
    </r>
  </si>
  <si>
    <t>Australia</t>
  </si>
  <si>
    <r>
      <t>Austria</t>
    </r>
    <r>
      <rPr>
        <vertAlign val="superscript"/>
        <sz val="9"/>
        <rFont val="Arial"/>
        <family val="2"/>
      </rPr>
      <t>(4)</t>
    </r>
  </si>
  <si>
    <t>Canada</t>
  </si>
  <si>
    <t>No general scheme.</t>
  </si>
  <si>
    <t>Rules and payment rates determined provincially. A shelter allowance is included in the Ontario Works programme (SA) and amounts are determined by household size, income and location.</t>
  </si>
  <si>
    <r>
      <t>Hungary</t>
    </r>
    <r>
      <rPr>
        <vertAlign val="superscript"/>
        <sz val="9"/>
        <rFont val="Arial"/>
        <family val="2"/>
      </rPr>
      <t>(8)</t>
    </r>
  </si>
  <si>
    <r>
      <t>Israel</t>
    </r>
    <r>
      <rPr>
        <vertAlign val="superscript"/>
        <sz val="9"/>
        <rFont val="Arial"/>
        <family val="2"/>
      </rPr>
      <t>(6)</t>
    </r>
  </si>
  <si>
    <t>Italy (Lazio region)</t>
  </si>
  <si>
    <r>
      <t>New Zealand</t>
    </r>
    <r>
      <rPr>
        <vertAlign val="superscript"/>
        <sz val="9"/>
        <rFont val="Arial"/>
        <family val="2"/>
      </rPr>
      <t>(7)</t>
    </r>
  </si>
  <si>
    <t>Norway (Oslo)</t>
  </si>
  <si>
    <t>United States</t>
  </si>
  <si>
    <t>Commonwealth Rent Assistance</t>
  </si>
  <si>
    <t>No general housing benefit</t>
  </si>
  <si>
    <t>No housing benefit in the form of rent subsidy but support for purchasing/building the first home</t>
  </si>
  <si>
    <t>Státní sociální podpora: Příspěvek na bydlení</t>
  </si>
  <si>
    <t>Difference between the maximum reference housing costs and the household's reference income multiplied by a coefficient of 0.3 (0.35 in Prague)</t>
  </si>
  <si>
    <t>Rent supplement for social assistance recipients, young adults rent incentive</t>
  </si>
  <si>
    <t>Boligsikring</t>
  </si>
  <si>
    <t>60% of rent up to a maximum amount minus 18% of income above a threshold that varies according to family size. However, for families without children the benefit can never exceed 15% of the rent</t>
  </si>
  <si>
    <t>Housing allowance under social assistance: families eligible if both spouses on social assistance or unemployment insurance benefits. Tops up regular housing benefit. After 3 months sum of social assistance and housing allowance cannot be higher than unemployment benefit</t>
  </si>
  <si>
    <r>
      <t>Housing benefit provided through subsistence benefit  (</t>
    </r>
    <r>
      <rPr>
        <i/>
        <sz val="9"/>
        <rFont val="Arial"/>
        <family val="2"/>
      </rPr>
      <t>toimetulekutoetus</t>
    </r>
    <r>
      <rPr>
        <sz val="9"/>
        <rFont val="Arial"/>
        <family val="2"/>
      </rPr>
      <t>)</t>
    </r>
  </si>
  <si>
    <t>Yleinen asumistuki</t>
  </si>
  <si>
    <t>80% of (limited) rent above a "deductible amount"; available to families, couples and single people of limited means</t>
  </si>
  <si>
    <t>Rent supplement for social assistance recipients; housing allowance schemes for pensioners and students</t>
  </si>
  <si>
    <r>
      <rPr>
        <i/>
        <sz val="9"/>
        <rFont val="Arial"/>
        <family val="2"/>
      </rPr>
      <t>Aide personnalisé au logement</t>
    </r>
    <r>
      <rPr>
        <sz val="9"/>
        <rFont val="Arial"/>
        <family val="2"/>
      </rPr>
      <t xml:space="preserve"> (APL),</t>
    </r>
    <r>
      <rPr>
        <i/>
        <sz val="9"/>
        <rFont val="Arial"/>
        <family val="2"/>
      </rPr>
      <t xml:space="preserve"> allocation de logement à caractére famlial</t>
    </r>
    <r>
      <rPr>
        <sz val="9"/>
        <rFont val="Arial"/>
        <family val="2"/>
      </rPr>
      <t xml:space="preserve"> (ALF), </t>
    </r>
    <r>
      <rPr>
        <i/>
        <sz val="9"/>
        <rFont val="Arial"/>
        <family val="2"/>
      </rPr>
      <t>allocation de logement de caratère social</t>
    </r>
    <r>
      <rPr>
        <sz val="9"/>
        <rFont val="Arial"/>
        <family val="2"/>
      </rPr>
      <t xml:space="preserve"> (ALS)</t>
    </r>
  </si>
  <si>
    <t xml:space="preserve">Benefit amount equals actual rent up to a maximum amount minus a personal contribution that depends on the rent, income and family size. </t>
  </si>
  <si>
    <t>Wohngeld</t>
  </si>
  <si>
    <t>Rent Supplement as part of social assistance (supplementary welfare allowance scheme)</t>
  </si>
  <si>
    <t>Huurtoeslag</t>
  </si>
  <si>
    <t>Accomodation Supplement</t>
  </si>
  <si>
    <t xml:space="preserve">Accommodation Supplement provides assistance towards accommodation costs, including private rent, board and home ownership costs. A person does not have to be receiving another benefit to qualify for Accommodation Supplement. Benefit provides for 70% of accommodation costs above the entry threshold, which depends on the net unemployment benefit they are or would be entitled to, up to a maximum amount which depends on household size and region. The benefit is withdrawn at a rate of 25% of gross income above a threshold that varies by family type. </t>
  </si>
  <si>
    <t>Bostøtte</t>
  </si>
  <si>
    <t>Dodatki mieszkaniowe</t>
  </si>
  <si>
    <t xml:space="preserve">Benefit based on the difference between what is considered a reasonable payment for a family and actual housing costs. Housing costs cannot exceed a maximum amount, calculated based on the size of the family and the size of the flat. Families are expected to contribute 15% of their housing costs for single person households, 12% for 2-4 person households and 10% for households with 5 or more persons. </t>
  </si>
  <si>
    <t>Depends on dwelling size and actual rent cost</t>
  </si>
  <si>
    <t>For social assistance recipients: Housing and heating allowance at discretion of Social assistance centres</t>
  </si>
  <si>
    <t>Subsídio de lar - Subsídio de renda</t>
  </si>
  <si>
    <t>Rent subsidies  for tenants whose economic situation has experienced severe and sudden deterioration in terms of household income, namely due to unemployment or death of family earner.</t>
  </si>
  <si>
    <t>Subvencija za najemnine</t>
  </si>
  <si>
    <t xml:space="preserve">Housing benefits depends on the claimant’s income and beneficiaries can receive up to 80% of actual rent up to a maximum based on "reasonable" size of dwelling given the size of the household. The benefit is withdrawn at a rate of 70% above the Basic Minimum Income level. </t>
  </si>
  <si>
    <t>Some regions (including Madrid) feater housing benefit schemes. The tax code has a tax credit for housing expenses on a national level.</t>
  </si>
  <si>
    <t>Bostadsbidrag för barnfamiljer med flera</t>
  </si>
  <si>
    <t xml:space="preserve">Total housing costs are divided in brackets. 100% of the first bracket is covered, followed by 50-90% of the next bracket up to a maximum. The benefit amount is reduced by 20% (33%) of income above a threshold for families with (without) children. Subsidy rates and income thresholds depend on family type. </t>
  </si>
  <si>
    <t>Rent fully covered for social assistance recipients</t>
  </si>
  <si>
    <t>No general scheme. Some cantons provide housing benefit to low-income households, elderly or families with children.</t>
  </si>
  <si>
    <t>Housing assistance for social assistance recipients</t>
  </si>
  <si>
    <t>Local Housing Allowance</t>
  </si>
  <si>
    <t>No general federal housing benefit</t>
  </si>
  <si>
    <t>Housing benefits are not universally available. Right to receive monthly benefit have only persons renting public (state or communal) owned accommodations, whose income for the previous month is by 150% of DMI and if they are: 1) orphans to 25 years of age; 2) lone persons over 70 years of age; 3) lone parents. The claimants who qualify for HB always pay part of the rent themselves and the other part is transferred from social funds to the state/commune budget.</t>
  </si>
  <si>
    <t>Additional support for those on social assistance. Accommodation costs are compensated up to 50% of the monthly subsistence allowance; higher coverage in case of families that risk separation upon assessment of the social welfare centre</t>
  </si>
  <si>
    <t>Benefit is estimated as difference between housing and public utility service costs (up to a maximum amount) minus net income of claimant above the guaraneteed minimum income level</t>
  </si>
  <si>
    <t>Means–tested support to cover expenses for the house heating, cold and hot running water. Calculated as a fraction of the difference between actual cost and the state supported income per family.</t>
  </si>
  <si>
    <t>Rent subsidy</t>
  </si>
  <si>
    <t xml:space="preserve">A number of schemes related to housing are available, but only the rent subsidy scheme is paid regularly. The benefit amount depends on household size and income band. </t>
  </si>
  <si>
    <t>Family and Lone Parent benefits</t>
  </si>
  <si>
    <t>quant table</t>
  </si>
  <si>
    <t>Source look-up value:</t>
  </si>
  <si>
    <t>PT_CB_name</t>
  </si>
  <si>
    <t>PT_CB_type</t>
  </si>
  <si>
    <t>PT_CB_cond_age</t>
  </si>
  <si>
    <t>PT_CB_cond_other</t>
  </si>
  <si>
    <t>see left most column</t>
  </si>
  <si>
    <t>PT_CB_var_age</t>
  </si>
  <si>
    <t>PT_CB_var_children</t>
  </si>
  <si>
    <t>PT_CB_earnings_disreg</t>
  </si>
  <si>
    <t>PT_CB_withdrawal</t>
  </si>
  <si>
    <t>PT_CB_means_assets</t>
  </si>
  <si>
    <t>Program name (local name in parentheses if available)</t>
  </si>
  <si>
    <t>Type of benefit</t>
  </si>
  <si>
    <t>Eligibility criteria</t>
  </si>
  <si>
    <t>Benefit amount</t>
  </si>
  <si>
    <t>Income test or income dependence</t>
  </si>
  <si>
    <t>Age limits for children up to and including (in parentheses if student)</t>
  </si>
  <si>
    <r>
      <t>Maximum benefit for one child aged between 3 and 12 in % of AW</t>
    </r>
    <r>
      <rPr>
        <vertAlign val="superscript"/>
        <sz val="9"/>
        <rFont val="Arial"/>
        <family val="2"/>
      </rPr>
      <t>(3)</t>
    </r>
  </si>
  <si>
    <t>Earnings disregard (annual)</t>
  </si>
  <si>
    <t>Withdrawal rate</t>
  </si>
  <si>
    <t>Assets part of means test?</t>
  </si>
  <si>
    <t>PT_FB1_max_AW</t>
  </si>
  <si>
    <t>PT_FB2_max_AW</t>
  </si>
  <si>
    <t>PT_FB3_max_AW</t>
  </si>
  <si>
    <t>PT_LPB1_max_AW</t>
  </si>
  <si>
    <t>PT_LPB2_max_AW</t>
  </si>
  <si>
    <t>Canada
(Ontario)</t>
  </si>
  <si>
    <t>PT_FB4_max_AW</t>
  </si>
  <si>
    <t>PT_FB6_max_AW</t>
  </si>
  <si>
    <t>PT_FB7_max_AW</t>
  </si>
  <si>
    <t>PT_LPB3_max_AW</t>
  </si>
  <si>
    <t>PT_LPB4_max_AW</t>
  </si>
  <si>
    <r>
      <t>Greece</t>
    </r>
    <r>
      <rPr>
        <vertAlign val="superscript"/>
        <sz val="9"/>
        <rFont val="Arial"/>
        <family val="2"/>
      </rPr>
      <t>(5)</t>
    </r>
  </si>
  <si>
    <r>
      <t>Hungary</t>
    </r>
    <r>
      <rPr>
        <vertAlign val="superscript"/>
        <sz val="9"/>
        <rFont val="Arial"/>
        <family val="2"/>
      </rPr>
      <t>(6)</t>
    </r>
  </si>
  <si>
    <r>
      <t>Ireland</t>
    </r>
    <r>
      <rPr>
        <vertAlign val="superscript"/>
        <sz val="9"/>
        <rFont val="Arial"/>
        <family val="2"/>
      </rPr>
      <t>(7)</t>
    </r>
  </si>
  <si>
    <r>
      <t>Israel</t>
    </r>
    <r>
      <rPr>
        <vertAlign val="superscript"/>
        <sz val="9"/>
        <rFont val="Arial"/>
        <family val="2"/>
      </rPr>
      <t>(8)</t>
    </r>
  </si>
  <si>
    <t>New 
Zealand</t>
  </si>
  <si>
    <t>PT_LPB5_max_AW</t>
  </si>
  <si>
    <t>Switzerland (Zurich)</t>
  </si>
  <si>
    <r>
      <t>United 
States
(Michigan)</t>
    </r>
    <r>
      <rPr>
        <vertAlign val="superscript"/>
        <sz val="9"/>
        <rFont val="Arial"/>
        <family val="2"/>
      </rPr>
      <t>(10)</t>
    </r>
  </si>
  <si>
    <t>Age of child (+: more for older children, -: less for older children, 0: no difference by age)</t>
  </si>
  <si>
    <t>Per-child benefit amount varies with:</t>
  </si>
  <si>
    <t xml:space="preserve">Number of children (+: per-child amount increases with number of children, 0: same amount for each child, -: per-child amount decreases with number of children, --: no change in total amount by family size). </t>
  </si>
  <si>
    <t>Family Tax Benefit Part A</t>
  </si>
  <si>
    <t>Targeted</t>
  </si>
  <si>
    <t>+</t>
  </si>
  <si>
    <t>Family Tax Benefit Part B</t>
  </si>
  <si>
    <t>Parenting Payment (single)</t>
  </si>
  <si>
    <t>Universal</t>
  </si>
  <si>
    <t>18 (24)</t>
  </si>
  <si>
    <r>
      <t>School Bonus (</t>
    </r>
    <r>
      <rPr>
        <i/>
        <sz val="9"/>
        <rFont val="Arial"/>
        <family val="2"/>
      </rPr>
      <t>Schulstartgeld</t>
    </r>
    <r>
      <rPr>
        <sz val="9"/>
        <rFont val="Arial"/>
        <family val="2"/>
      </rPr>
      <t>)</t>
    </r>
  </si>
  <si>
    <r>
      <t>Children's tax credit (</t>
    </r>
    <r>
      <rPr>
        <i/>
        <sz val="9"/>
        <rFont val="Arial"/>
        <family val="2"/>
      </rPr>
      <t>Kinderabsetzbetrag</t>
    </r>
    <r>
      <rPr>
        <sz val="9"/>
        <rFont val="Arial"/>
        <family val="2"/>
      </rPr>
      <t>)</t>
    </r>
  </si>
  <si>
    <r>
      <t>Family benefit (</t>
    </r>
    <r>
      <rPr>
        <i/>
        <sz val="9"/>
        <rFont val="Arial"/>
        <family val="2"/>
      </rPr>
      <t>Allocation familiale</t>
    </r>
    <r>
      <rPr>
        <sz val="9"/>
        <rFont val="Arial"/>
        <family val="2"/>
      </rPr>
      <t>)</t>
    </r>
  </si>
  <si>
    <t>17 (24)</t>
  </si>
  <si>
    <t>Lone parent supplement to family benefit</t>
  </si>
  <si>
    <r>
      <t>Lone parent child care benefit (</t>
    </r>
    <r>
      <rPr>
        <i/>
        <sz val="9"/>
        <rFont val="Arial"/>
        <family val="2"/>
      </rPr>
      <t>Complément de garde d'enfant</t>
    </r>
    <r>
      <rPr>
        <sz val="9"/>
        <rFont val="Arial"/>
        <family val="2"/>
      </rPr>
      <t>)</t>
    </r>
  </si>
  <si>
    <r>
      <t>Family benefit on the federal level (</t>
    </r>
    <r>
      <rPr>
        <i/>
        <sz val="9"/>
        <rFont val="Arial"/>
        <family val="2"/>
      </rPr>
      <t xml:space="preserve">Canada Child Tax Benefit </t>
    </r>
    <r>
      <rPr>
        <sz val="9"/>
        <rFont val="Arial"/>
        <family val="2"/>
      </rPr>
      <t>(CCTB))</t>
    </r>
  </si>
  <si>
    <t>Targeted non-wastable tax credit</t>
  </si>
  <si>
    <r>
      <rPr>
        <i/>
        <sz val="9"/>
        <rFont val="Arial"/>
        <family val="2"/>
      </rPr>
      <t>Working Income Tax Benefit</t>
    </r>
    <r>
      <rPr>
        <sz val="9"/>
        <rFont val="Arial"/>
        <family val="2"/>
      </rPr>
      <t xml:space="preserve"> (WITB)</t>
    </r>
  </si>
  <si>
    <r>
      <t>Family benefit on the regional level (</t>
    </r>
    <r>
      <rPr>
        <i/>
        <sz val="9"/>
        <rFont val="Arial"/>
        <family val="2"/>
      </rPr>
      <t>Ontario Child Benefit</t>
    </r>
    <r>
      <rPr>
        <sz val="9"/>
        <rFont val="Arial"/>
        <family val="2"/>
      </rPr>
      <t xml:space="preserve"> (OCB))</t>
    </r>
  </si>
  <si>
    <t>Ontario Sales Tax Credit</t>
  </si>
  <si>
    <t>Goods and Services Tax Credit</t>
  </si>
  <si>
    <r>
      <t xml:space="preserve">Increase in </t>
    </r>
    <r>
      <rPr>
        <i/>
        <sz val="9"/>
        <rFont val="Arial"/>
        <family val="2"/>
      </rPr>
      <t xml:space="preserve">Goods and Services Tax Credit </t>
    </r>
    <r>
      <rPr>
        <sz val="9"/>
        <rFont val="Arial"/>
        <family val="2"/>
      </rPr>
      <t>for lone parents</t>
    </r>
  </si>
  <si>
    <r>
      <rPr>
        <i/>
        <sz val="9"/>
        <rFont val="Arial"/>
        <family val="2"/>
      </rPr>
      <t>Eligible Dependant Tax Credit</t>
    </r>
    <r>
      <rPr>
        <sz val="9"/>
        <rFont val="Arial"/>
        <family val="2"/>
      </rPr>
      <t xml:space="preserve"> (federal)</t>
    </r>
  </si>
  <si>
    <r>
      <rPr>
        <i/>
        <sz val="9"/>
        <rFont val="Arial"/>
        <family val="2"/>
      </rPr>
      <t>Eligible Dependant Tax Credit</t>
    </r>
    <r>
      <rPr>
        <sz val="9"/>
        <rFont val="Arial"/>
        <family val="2"/>
      </rPr>
      <t xml:space="preserve"> (Ontario)</t>
    </r>
  </si>
  <si>
    <t>Wastable tax credit</t>
  </si>
  <si>
    <t>Family allowance</t>
  </si>
  <si>
    <t>17 (23)</t>
  </si>
  <si>
    <t>Three different benefits decreasing with three income brackets, fully withdrawn at 91% of AW</t>
  </si>
  <si>
    <r>
      <t>Child benefit for low-income children (</t>
    </r>
    <r>
      <rPr>
        <i/>
        <sz val="9"/>
        <rFont val="Arial"/>
        <family val="2"/>
      </rPr>
      <t>Subsidio Familiar</t>
    </r>
    <r>
      <rPr>
        <sz val="9"/>
        <rFont val="Arial"/>
        <family val="2"/>
      </rPr>
      <t xml:space="preserve">) in the scope of </t>
    </r>
    <r>
      <rPr>
        <i/>
        <sz val="9"/>
        <rFont val="Arial"/>
        <family val="2"/>
      </rPr>
      <t>Chile Soldario</t>
    </r>
  </si>
  <si>
    <t>Child allowance</t>
  </si>
  <si>
    <t>14 (25)</t>
  </si>
  <si>
    <t>-</t>
  </si>
  <si>
    <r>
      <t>Child allowance (</t>
    </r>
    <r>
      <rPr>
        <i/>
        <sz val="9"/>
        <rFont val="Arial"/>
        <family val="2"/>
      </rPr>
      <t>lapsetoetus</t>
    </r>
    <r>
      <rPr>
        <sz val="9"/>
        <rFont val="Arial"/>
        <family val="2"/>
      </rPr>
      <t>)</t>
    </r>
  </si>
  <si>
    <t>15 (18)</t>
  </si>
  <si>
    <r>
      <t>Lone parent supplement to child allowance (</t>
    </r>
    <r>
      <rPr>
        <i/>
        <sz val="9"/>
        <rFont val="Arial"/>
        <family val="2"/>
      </rPr>
      <t>lapsetoetus</t>
    </r>
    <r>
      <rPr>
        <sz val="9"/>
        <rFont val="Arial"/>
        <family val="2"/>
      </rPr>
      <t>)</t>
    </r>
  </si>
  <si>
    <t>Absent parent does not pay alimony</t>
  </si>
  <si>
    <r>
      <t>Family benefit (</t>
    </r>
    <r>
      <rPr>
        <i/>
        <sz val="9"/>
        <rFont val="Arial"/>
        <family val="2"/>
      </rPr>
      <t>lapsilisä</t>
    </r>
    <r>
      <rPr>
        <sz val="9"/>
        <rFont val="Arial"/>
        <family val="2"/>
      </rPr>
      <t>)</t>
    </r>
  </si>
  <si>
    <r>
      <t>Lone parent supplement to family benefit (</t>
    </r>
    <r>
      <rPr>
        <i/>
        <sz val="9"/>
        <rFont val="Arial"/>
        <family val="2"/>
      </rPr>
      <t>lapsilisä</t>
    </r>
    <r>
      <rPr>
        <sz val="9"/>
        <rFont val="Arial"/>
        <family val="2"/>
      </rPr>
      <t>)</t>
    </r>
  </si>
  <si>
    <r>
      <t>General family benefit (</t>
    </r>
    <r>
      <rPr>
        <i/>
        <sz val="9"/>
        <rFont val="Arial"/>
        <family val="2"/>
      </rPr>
      <t>Allocations Familiales</t>
    </r>
    <r>
      <rPr>
        <sz val="9"/>
        <rFont val="Arial"/>
        <family val="2"/>
      </rPr>
      <t xml:space="preserve"> (AF))</t>
    </r>
  </si>
  <si>
    <r>
      <t>Young child benefit (</t>
    </r>
    <r>
      <rPr>
        <i/>
        <sz val="9"/>
        <rFont val="Arial"/>
        <family val="2"/>
      </rPr>
      <t xml:space="preserve">Prestation d'accueil du jeune enfant </t>
    </r>
    <r>
      <rPr>
        <sz val="9"/>
        <rFont val="Arial"/>
        <family val="2"/>
      </rPr>
      <t>(PAJE))</t>
    </r>
  </si>
  <si>
    <t>Varies by family size</t>
  </si>
  <si>
    <r>
      <t>School allowance (</t>
    </r>
    <r>
      <rPr>
        <i/>
        <sz val="9"/>
        <rFont val="Arial"/>
        <family val="2"/>
      </rPr>
      <t>Allocation Rentrée Scolaire</t>
    </r>
    <r>
      <rPr>
        <sz val="9"/>
        <rFont val="Arial"/>
        <family val="2"/>
      </rPr>
      <t xml:space="preserve"> (ARS))</t>
    </r>
  </si>
  <si>
    <r>
      <t>Lone parent benefit (</t>
    </r>
    <r>
      <rPr>
        <i/>
        <sz val="9"/>
        <rFont val="Arial"/>
        <family val="2"/>
      </rPr>
      <t>Allocation Soutien Familiale</t>
    </r>
    <r>
      <rPr>
        <sz val="9"/>
        <rFont val="Arial"/>
        <family val="2"/>
      </rPr>
      <t xml:space="preserve"> (ASF))</t>
    </r>
  </si>
  <si>
    <t>18 (25)</t>
  </si>
  <si>
    <r>
      <t>Supplementary child allowance (</t>
    </r>
    <r>
      <rPr>
        <i/>
        <sz val="9"/>
        <rFont val="Arial"/>
        <family val="2"/>
      </rPr>
      <t>Kinderzuschlag</t>
    </r>
    <r>
      <rPr>
        <sz val="9"/>
        <rFont val="Arial"/>
        <family val="2"/>
      </rPr>
      <t>)</t>
    </r>
  </si>
  <si>
    <r>
      <t>Education and participation package (</t>
    </r>
    <r>
      <rPr>
        <i/>
        <sz val="9"/>
        <rFont val="Arial"/>
        <family val="2"/>
      </rPr>
      <t>Bildungspaket</t>
    </r>
    <r>
      <rPr>
        <sz val="9"/>
        <rFont val="Arial"/>
        <family val="2"/>
      </rPr>
      <t>)</t>
    </r>
  </si>
  <si>
    <t>Family receives unemployment benefit II</t>
  </si>
  <si>
    <r>
      <t>Low income support for families with children in compulsory education (</t>
    </r>
    <r>
      <rPr>
        <i/>
        <sz val="9"/>
        <rFont val="Arial"/>
        <family val="2"/>
      </rPr>
      <t>σχολικό επίδομα</t>
    </r>
    <r>
      <rPr>
        <sz val="9"/>
        <rFont val="Arial"/>
        <family val="2"/>
      </rPr>
      <t>)</t>
    </r>
  </si>
  <si>
    <r>
      <t>Family allowance (</t>
    </r>
    <r>
      <rPr>
        <i/>
        <sz val="9"/>
        <rFont val="Arial"/>
        <family val="2"/>
      </rPr>
      <t>Családi pótlék</t>
    </r>
    <r>
      <rPr>
        <sz val="9"/>
        <rFont val="Arial"/>
        <family val="2"/>
      </rPr>
      <t>)</t>
    </r>
  </si>
  <si>
    <t>18 (23)</t>
  </si>
  <si>
    <r>
      <t>Child tax allowance (</t>
    </r>
    <r>
      <rPr>
        <i/>
        <sz val="9"/>
        <rFont val="Arial"/>
        <family val="2"/>
      </rPr>
      <t>családi adókedvezmény</t>
    </r>
    <r>
      <rPr>
        <sz val="9"/>
        <rFont val="Arial"/>
        <family val="2"/>
      </rPr>
      <t>)</t>
    </r>
  </si>
  <si>
    <r>
      <t>Subsidized meals through child protection allowance (</t>
    </r>
    <r>
      <rPr>
        <i/>
        <sz val="9"/>
        <rFont val="Arial"/>
        <family val="2"/>
      </rPr>
      <t>étkezési támogatás</t>
    </r>
    <r>
      <rPr>
        <sz val="9"/>
        <rFont val="Arial"/>
        <family val="2"/>
      </rPr>
      <t>)</t>
    </r>
  </si>
  <si>
    <r>
      <t>Family benefit (</t>
    </r>
    <r>
      <rPr>
        <i/>
        <sz val="9"/>
        <rFont val="Arial"/>
        <family val="2"/>
      </rPr>
      <t>barnabætur</t>
    </r>
    <r>
      <rPr>
        <sz val="9"/>
        <rFont val="Arial"/>
        <family val="2"/>
      </rPr>
      <t>)</t>
    </r>
  </si>
  <si>
    <r>
      <t>Supplement to Family benefit (</t>
    </r>
    <r>
      <rPr>
        <i/>
        <sz val="9"/>
        <rFont val="Arial"/>
        <family val="2"/>
      </rPr>
      <t>barnabætur</t>
    </r>
    <r>
      <rPr>
        <sz val="9"/>
        <rFont val="Arial"/>
        <family val="2"/>
      </rPr>
      <t>) for lone parents</t>
    </r>
  </si>
  <si>
    <t>Lone parent</t>
  </si>
  <si>
    <t>Lone parent mother/fatherhood allowance</t>
  </si>
  <si>
    <t>Child benefit</t>
  </si>
  <si>
    <t>15 (17)</t>
  </si>
  <si>
    <r>
      <rPr>
        <i/>
        <sz val="9"/>
        <rFont val="Arial"/>
        <family val="2"/>
      </rPr>
      <t>One-parent family payment</t>
    </r>
    <r>
      <rPr>
        <sz val="9"/>
        <rFont val="Arial"/>
        <family val="2"/>
      </rPr>
      <t xml:space="preserve"> (OFP)</t>
    </r>
  </si>
  <si>
    <t>Targeted wastable tax credit</t>
  </si>
  <si>
    <t>Preferential income tax schedule for lone parents</t>
  </si>
  <si>
    <t>Child tax allowance</t>
  </si>
  <si>
    <t>Parents with work income or on unemployment insurance benefit</t>
  </si>
  <si>
    <t>Earned income tax credit for parents</t>
  </si>
  <si>
    <t>Working low-income parents</t>
  </si>
  <si>
    <t>Varies by number of children and income</t>
  </si>
  <si>
    <t>17 (20)</t>
  </si>
  <si>
    <t>Child tax credit</t>
  </si>
  <si>
    <t>Large family child tax credit</t>
  </si>
  <si>
    <t>Family benefit</t>
  </si>
  <si>
    <t>Tax allowance</t>
  </si>
  <si>
    <t>Child rearing support (CRS), Additional child-rearing support subsidy (ACRS), Child education support subsidy (CES) for lone parents</t>
  </si>
  <si>
    <r>
      <t>School expenses allowance (</t>
    </r>
    <r>
      <rPr>
        <i/>
        <sz val="9"/>
        <rFont val="Arial"/>
        <family val="2"/>
      </rPr>
      <t>Allocation rentrée scolaire</t>
    </r>
    <r>
      <rPr>
        <sz val="9"/>
        <rFont val="Arial"/>
        <family val="2"/>
      </rPr>
      <t>)</t>
    </r>
  </si>
  <si>
    <t>Lower tax rates</t>
  </si>
  <si>
    <t>Family tax credit</t>
  </si>
  <si>
    <t>Minimum family tax credit</t>
  </si>
  <si>
    <t>Lone parent: work at least 20 hours per week; two-parent family: combined 30 hours</t>
  </si>
  <si>
    <t>In work tax credit</t>
  </si>
  <si>
    <t>Combined means test with Family Tax credit, withdrawal begins once Family Tax credit entitlement reduced to zero</t>
  </si>
  <si>
    <t>Additional basic tax credit for lone parents</t>
  </si>
  <si>
    <r>
      <t>Family benefit (</t>
    </r>
    <r>
      <rPr>
        <i/>
        <sz val="9"/>
        <rFont val="Arial"/>
        <family val="2"/>
      </rPr>
      <t>Abono de família para crianças e jovens</t>
    </r>
    <r>
      <rPr>
        <sz val="9"/>
        <rFont val="Arial"/>
        <family val="2"/>
      </rPr>
      <t>)</t>
    </r>
  </si>
  <si>
    <r>
      <t>Additional family benefit (</t>
    </r>
    <r>
      <rPr>
        <i/>
        <sz val="9"/>
        <rFont val="Arial"/>
        <family val="2"/>
      </rPr>
      <t>Abono de família para crianças e jovens</t>
    </r>
    <r>
      <rPr>
        <sz val="9"/>
        <rFont val="Arial"/>
        <family val="2"/>
      </rPr>
      <t>) for lone parents</t>
    </r>
  </si>
  <si>
    <r>
      <t>Child allowance (</t>
    </r>
    <r>
      <rPr>
        <i/>
        <sz val="9"/>
        <rFont val="Arial"/>
        <family val="2"/>
      </rPr>
      <t>Prídavok na dieťa</t>
    </r>
    <r>
      <rPr>
        <sz val="9"/>
        <rFont val="Arial"/>
        <family val="2"/>
      </rPr>
      <t>)</t>
    </r>
  </si>
  <si>
    <t>Non-wastable tax credit</t>
  </si>
  <si>
    <t>Alimony replacement benefit</t>
  </si>
  <si>
    <t>2.2 times the subsistence minimum (varies by family size)</t>
  </si>
  <si>
    <r>
      <t>Family benefit (</t>
    </r>
    <r>
      <rPr>
        <i/>
        <sz val="9"/>
        <rFont val="Arial"/>
        <family val="2"/>
      </rPr>
      <t>otroški dodatek</t>
    </r>
    <r>
      <rPr>
        <sz val="9"/>
        <rFont val="Arial"/>
        <family val="2"/>
      </rPr>
      <t>)</t>
    </r>
  </si>
  <si>
    <r>
      <t>Large family allowance (</t>
    </r>
    <r>
      <rPr>
        <i/>
        <sz val="9"/>
        <rFont val="Arial"/>
        <family val="2"/>
      </rPr>
      <t>dodatek za veliko družino</t>
    </r>
    <r>
      <rPr>
        <sz val="9"/>
        <rFont val="Arial"/>
        <family val="2"/>
      </rPr>
      <t>)</t>
    </r>
  </si>
  <si>
    <t>Tax allowance for children</t>
  </si>
  <si>
    <r>
      <t>Supplement to social assistance (</t>
    </r>
    <r>
      <rPr>
        <i/>
        <sz val="9"/>
        <rFont val="Arial"/>
        <family val="2"/>
      </rPr>
      <t>Denarna socialna pomoč</t>
    </r>
    <r>
      <rPr>
        <sz val="9"/>
        <rFont val="Arial"/>
        <family val="2"/>
      </rPr>
      <t>) for lone parents</t>
    </r>
  </si>
  <si>
    <r>
      <t>Supplement to family benefit (</t>
    </r>
    <r>
      <rPr>
        <i/>
        <sz val="9"/>
        <rFont val="Arial"/>
        <family val="2"/>
      </rPr>
      <t>otroški dodatek</t>
    </r>
    <r>
      <rPr>
        <sz val="9"/>
        <rFont val="Arial"/>
        <family val="2"/>
      </rPr>
      <t>) for lone parents</t>
    </r>
  </si>
  <si>
    <r>
      <t>Family allowance (</t>
    </r>
    <r>
      <rPr>
        <i/>
        <sz val="9"/>
        <rFont val="Arial"/>
        <family val="2"/>
      </rPr>
      <t>Prestación por hijo a cargo no contributiva</t>
    </r>
    <r>
      <rPr>
        <sz val="9"/>
        <rFont val="Arial"/>
        <family val="2"/>
      </rPr>
      <t>)</t>
    </r>
  </si>
  <si>
    <t>15 (19)</t>
  </si>
  <si>
    <t>15 (24)</t>
  </si>
  <si>
    <t>Parents must be working or receiving unemployment benefit</t>
  </si>
  <si>
    <t>Universal, but off-set by tax charge for high-income families</t>
  </si>
  <si>
    <r>
      <rPr>
        <i/>
        <sz val="9"/>
        <rFont val="Arial"/>
        <family val="2"/>
      </rPr>
      <t>Temporary Assistance for Needy Families</t>
    </r>
    <r>
      <rPr>
        <sz val="9"/>
        <rFont val="Arial"/>
        <family val="2"/>
      </rPr>
      <t xml:space="preserve"> (TANF)</t>
    </r>
  </si>
  <si>
    <t>18 (19)</t>
  </si>
  <si>
    <r>
      <rPr>
        <i/>
        <sz val="9"/>
        <rFont val="Arial"/>
        <family val="2"/>
      </rPr>
      <t>Earned Income Tax Credit</t>
    </r>
    <r>
      <rPr>
        <sz val="9"/>
        <rFont val="Arial"/>
        <family val="2"/>
      </rPr>
      <t xml:space="preserve"> (EITC)</t>
    </r>
  </si>
  <si>
    <t>Working parent(s)</t>
  </si>
  <si>
    <t xml:space="preserve">Tax allowance </t>
  </si>
  <si>
    <t>Child credit</t>
  </si>
  <si>
    <t>Targeted tax credit, partly non-wastable</t>
  </si>
  <si>
    <t>First grade pupils</t>
  </si>
  <si>
    <t>Alimony advance payment</t>
  </si>
  <si>
    <t>Absent parent does not pay child support/alimony</t>
  </si>
  <si>
    <r>
      <t>Family benefit (</t>
    </r>
    <r>
      <rPr>
        <i/>
        <sz val="9"/>
        <rFont val="Arial"/>
        <family val="2"/>
      </rPr>
      <t>doplatak za djecu</t>
    </r>
    <r>
      <rPr>
        <sz val="9"/>
        <rFont val="Arial"/>
        <family val="2"/>
      </rPr>
      <t>)</t>
    </r>
  </si>
  <si>
    <t>14 (18)</t>
  </si>
  <si>
    <r>
      <t>Family benefit (</t>
    </r>
    <r>
      <rPr>
        <i/>
        <sz val="9"/>
        <rFont val="Arial"/>
        <family val="2"/>
      </rPr>
      <t>ģimenes valsts pabalsts</t>
    </r>
    <r>
      <rPr>
        <sz val="9"/>
        <rFont val="Arial"/>
        <family val="2"/>
      </rPr>
      <t>)</t>
    </r>
  </si>
  <si>
    <t>Paid under the decision of the court if absent parent does not pay child support</t>
  </si>
  <si>
    <t xml:space="preserve">n.a. </t>
  </si>
  <si>
    <t>Child allowance (universal rate)</t>
  </si>
  <si>
    <t>Child allowance (targeted rate)</t>
  </si>
  <si>
    <t>Varies by family size: 6% for each child aged under 16 plus 2% for each child aged 16-20</t>
  </si>
  <si>
    <t>Social assistance for lone parents</t>
  </si>
  <si>
    <t>Lone parent with at least 2 children</t>
  </si>
  <si>
    <t>0 for first two children, + for third and fourth, 0 thereonwards</t>
  </si>
  <si>
    <t>Child Tax Credit</t>
  </si>
  <si>
    <t>0, with more than 3 children supplemental non-wastable child credit may be claimed</t>
  </si>
  <si>
    <t>0, + from third child on</t>
  </si>
  <si>
    <t>*</t>
  </si>
  <si>
    <t>0 up till fourth child, then --</t>
  </si>
  <si>
    <t>Type of employment-conditional benefit</t>
  </si>
  <si>
    <t>Beneficiaries of employment-conditional benefit</t>
  </si>
  <si>
    <t>Eligibility and calculation criteria</t>
  </si>
  <si>
    <t>Time dependency of employment-conditional benefit</t>
  </si>
  <si>
    <t>Child-based condition</t>
  </si>
  <si>
    <t>Influence of number of children on benefit amount</t>
  </si>
  <si>
    <t>Working hour criterion</t>
  </si>
  <si>
    <t>Transition criterion</t>
  </si>
  <si>
    <t>Minimum earnings criterion for eligbility</t>
  </si>
  <si>
    <t>(Maximum) benefit amount</t>
  </si>
  <si>
    <t>Phase-in rate</t>
  </si>
  <si>
    <t>Phase-out rate</t>
  </si>
  <si>
    <t>[15]</t>
  </si>
  <si>
    <r>
      <t>Family benefit (</t>
    </r>
    <r>
      <rPr>
        <i/>
        <sz val="9"/>
        <rFont val="Arial"/>
        <family val="2"/>
      </rPr>
      <t>zasiłek rodzinny</t>
    </r>
    <r>
      <rPr>
        <sz val="9"/>
        <rFont val="Arial"/>
        <family val="2"/>
      </rPr>
      <t>)</t>
    </r>
  </si>
  <si>
    <r>
      <t>Supplement to family benefit (</t>
    </r>
    <r>
      <rPr>
        <i/>
        <sz val="9"/>
        <rFont val="Arial"/>
        <family val="2"/>
      </rPr>
      <t>zasiłek rodzinny</t>
    </r>
    <r>
      <rPr>
        <sz val="9"/>
        <rFont val="Arial"/>
        <family val="2"/>
      </rPr>
      <t>) for lone parents</t>
    </r>
  </si>
  <si>
    <r>
      <t>Family benefit (</t>
    </r>
    <r>
      <rPr>
        <i/>
        <sz val="9"/>
        <rFont val="Arial"/>
        <family val="2"/>
      </rPr>
      <t>Barnbidrag</t>
    </r>
    <r>
      <rPr>
        <sz val="9"/>
        <rFont val="Arial"/>
        <family val="2"/>
      </rPr>
      <t>)</t>
    </r>
  </si>
  <si>
    <r>
      <t>Alimony advance payment (</t>
    </r>
    <r>
      <rPr>
        <i/>
        <sz val="9"/>
        <rFont val="Arial"/>
        <family val="2"/>
      </rPr>
      <t>Underhållsstöd</t>
    </r>
    <r>
      <rPr>
        <sz val="9"/>
        <rFont val="Arial"/>
        <family val="2"/>
      </rPr>
      <t>)</t>
    </r>
  </si>
  <si>
    <r>
      <t>Allowance for family support (</t>
    </r>
    <r>
      <rPr>
        <i/>
        <sz val="9"/>
        <rFont val="Arial"/>
        <family val="2"/>
      </rPr>
      <t>Alocația pentru susținerea familiei</t>
    </r>
    <r>
      <rPr>
        <sz val="9"/>
        <rFont val="Arial"/>
        <family val="2"/>
      </rPr>
      <t>)</t>
    </r>
  </si>
  <si>
    <r>
      <t>Supplement to allowance for family support (</t>
    </r>
    <r>
      <rPr>
        <i/>
        <sz val="9"/>
        <rFont val="Arial"/>
        <family val="2"/>
      </rPr>
      <t>Alocația pentru susținerea familiei</t>
    </r>
    <r>
      <rPr>
        <sz val="9"/>
        <rFont val="Arial"/>
        <family val="2"/>
      </rPr>
      <t>) for lone parents</t>
    </r>
  </si>
  <si>
    <r>
      <t>Benefit calculation</t>
    </r>
    <r>
      <rPr>
        <vertAlign val="superscript"/>
        <sz val="9"/>
        <color theme="1"/>
        <rFont val="Arial"/>
        <family val="2"/>
      </rPr>
      <t>(1)</t>
    </r>
  </si>
  <si>
    <r>
      <t>Income assessment unit</t>
    </r>
    <r>
      <rPr>
        <vertAlign val="superscript"/>
        <sz val="9"/>
        <rFont val="Arial"/>
        <family val="2"/>
      </rPr>
      <t>(3)</t>
    </r>
  </si>
  <si>
    <r>
      <t>Earnings when phasing out begins (% AW)</t>
    </r>
    <r>
      <rPr>
        <vertAlign val="superscript"/>
        <sz val="9"/>
        <rFont val="Arial"/>
        <family val="2"/>
      </rPr>
      <t>(4)</t>
    </r>
  </si>
  <si>
    <r>
      <t>Approximate maximum earnings when benefit is phased out completely (% AW)</t>
    </r>
    <r>
      <rPr>
        <vertAlign val="superscript"/>
        <sz val="9"/>
        <rFont val="Arial"/>
        <family val="2"/>
      </rPr>
      <t>(4)</t>
    </r>
  </si>
  <si>
    <r>
      <t>Korea</t>
    </r>
    <r>
      <rPr>
        <vertAlign val="superscript"/>
        <sz val="9"/>
        <rFont val="Arial"/>
        <family val="2"/>
      </rPr>
      <t>(9)</t>
    </r>
  </si>
  <si>
    <r>
      <t>Luxembourg</t>
    </r>
    <r>
      <rPr>
        <vertAlign val="superscript"/>
        <sz val="9"/>
        <rFont val="Arial"/>
        <family val="2"/>
      </rPr>
      <t>(10)</t>
    </r>
  </si>
  <si>
    <t>See maximum benefit amount</t>
  </si>
  <si>
    <r>
      <t>United 
States</t>
    </r>
    <r>
      <rPr>
        <vertAlign val="superscript"/>
        <sz val="9"/>
        <rFont val="Arial"/>
        <family val="2"/>
      </rPr>
      <t>(11)</t>
    </r>
  </si>
  <si>
    <t>No phase-out</t>
  </si>
  <si>
    <t>Individual's gross earnings</t>
  </si>
  <si>
    <t>Ontario Other Employment and Employment Assistance Activities Benefit</t>
  </si>
  <si>
    <t>In-work benefit</t>
  </si>
  <si>
    <t>Once in 12 months</t>
  </si>
  <si>
    <t>Yes, less than 80% of full-time hours</t>
  </si>
  <si>
    <t>81%</t>
  </si>
  <si>
    <t>Earned income tax credit</t>
  </si>
  <si>
    <t>Employees</t>
  </si>
  <si>
    <t>Taxable income</t>
  </si>
  <si>
    <t>Mini- and Midijob (marginal employment) schemes</t>
  </si>
  <si>
    <t>Net family income</t>
  </si>
  <si>
    <t>Gross income</t>
  </si>
  <si>
    <t>Working parents</t>
  </si>
  <si>
    <t>Re-employment allowance</t>
  </si>
  <si>
    <t>Unemployment benefit recipients taking up work</t>
  </si>
  <si>
    <t>With more than 2/3 (1/3) of the benefit duration remaining: 60% (50%) of the remaining benefit</t>
  </si>
  <si>
    <t>Household taxable income</t>
  </si>
  <si>
    <t>Independent earner tax credit</t>
  </si>
  <si>
    <t>Working low-income individuals not receiving other tax credits or benefits</t>
  </si>
  <si>
    <t>Gross family income</t>
  </si>
  <si>
    <t>Working Tax Credit</t>
  </si>
  <si>
    <t>Employment tax credit</t>
  </si>
  <si>
    <t>Work-related expenses allowance</t>
  </si>
  <si>
    <t>Individual gross earnings</t>
  </si>
  <si>
    <t>Individual's work income plus potential unemployment benefits less social security contributions</t>
  </si>
  <si>
    <t>Individual net earnings</t>
  </si>
  <si>
    <r>
      <t>Reduction of employee social security contributions (</t>
    </r>
    <r>
      <rPr>
        <i/>
        <sz val="9"/>
        <rFont val="Arial"/>
        <family val="2"/>
      </rPr>
      <t>Réduction des cotisations personelles de sécurité sociale</t>
    </r>
    <r>
      <rPr>
        <sz val="9"/>
        <rFont val="Arial"/>
        <family val="2"/>
      </rPr>
      <t>)</t>
    </r>
  </si>
  <si>
    <t>Family net income</t>
  </si>
  <si>
    <r>
      <t>Employment-conditional benefit for women (</t>
    </r>
    <r>
      <rPr>
        <i/>
        <sz val="9"/>
        <rFont val="Arial"/>
        <family val="2"/>
      </rPr>
      <t>Bono Trabajo Mujer</t>
    </r>
    <r>
      <rPr>
        <sz val="9"/>
        <rFont val="Arial"/>
        <family val="2"/>
      </rPr>
      <t>)</t>
    </r>
  </si>
  <si>
    <t xml:space="preserve">50% 
</t>
  </si>
  <si>
    <t>0%, but hours criteria for eligibility</t>
  </si>
  <si>
    <t>Gross family earnings</t>
  </si>
  <si>
    <t>No, lump-sum payment</t>
  </si>
  <si>
    <t>Abatement starts where family tax credit is fully withdrawn, depends on number and age of children</t>
  </si>
  <si>
    <r>
      <t>Unemployment insurance (</t>
    </r>
    <r>
      <rPr>
        <i/>
        <sz val="9"/>
        <rFont val="Arial"/>
        <family val="2"/>
      </rPr>
      <t>Subisdio de desemprego</t>
    </r>
    <r>
      <rPr>
        <sz val="9"/>
        <rFont val="Arial"/>
        <family val="2"/>
      </rPr>
      <t>) means test</t>
    </r>
  </si>
  <si>
    <t>Depends on previous earnings</t>
  </si>
  <si>
    <r>
      <t>Social assistance (</t>
    </r>
    <r>
      <rPr>
        <i/>
        <sz val="9"/>
        <rFont val="Arial"/>
        <family val="2"/>
      </rPr>
      <t>Rendimento social de inserção</t>
    </r>
    <r>
      <rPr>
        <sz val="9"/>
        <rFont val="Arial"/>
        <family val="2"/>
      </rPr>
      <t>) means test</t>
    </r>
  </si>
  <si>
    <t>50% during first year of employment, otherwise 80%</t>
  </si>
  <si>
    <t>Family taxable income</t>
  </si>
  <si>
    <t>Into-work benefit</t>
  </si>
  <si>
    <t>Yes, must be in work</t>
  </si>
  <si>
    <r>
      <t>Into-work benefit based on remaining unemployment benefit (</t>
    </r>
    <r>
      <rPr>
        <i/>
        <sz val="9"/>
        <rFont val="Arial"/>
        <family val="2"/>
      </rPr>
      <t>Dávka v nezamestnanosti</t>
    </r>
    <r>
      <rPr>
        <sz val="9"/>
        <rFont val="Arial"/>
        <family val="2"/>
      </rPr>
      <t>) claim</t>
    </r>
  </si>
  <si>
    <t>Can claim 50% of remaining unemployment insurance as a lump sum if begins working again after 3 months of unemployment</t>
  </si>
  <si>
    <r>
      <t>Social assistance (</t>
    </r>
    <r>
      <rPr>
        <i/>
        <sz val="9"/>
        <rFont val="Arial"/>
        <family val="2"/>
      </rPr>
      <t>Denarna socialna pomoč</t>
    </r>
    <r>
      <rPr>
        <sz val="9"/>
        <rFont val="Arial"/>
        <family val="2"/>
      </rPr>
      <t>) supplements if working</t>
    </r>
  </si>
  <si>
    <r>
      <rPr>
        <i/>
        <sz val="9"/>
        <rFont val="Arial"/>
        <family val="2"/>
      </rPr>
      <t>Earned income tax credit</t>
    </r>
    <r>
      <rPr>
        <sz val="9"/>
        <rFont val="Arial"/>
        <family val="2"/>
      </rPr>
      <t xml:space="preserve"> (EITC)</t>
    </r>
  </si>
  <si>
    <t>Lump-sum of 50% of remaining UI payment if enter part-time work and earnings below that of a full-time minimum wage worker</t>
  </si>
  <si>
    <t>30% of previous unemployment benefit payment</t>
  </si>
  <si>
    <t>Into-work benefit based on prior social assistance receipt</t>
  </si>
  <si>
    <t>Up to 3 months</t>
  </si>
  <si>
    <t>Social assistance benefit</t>
  </si>
  <si>
    <t>Last social assistance benefit paid</t>
  </si>
  <si>
    <t>2. All amounts are shown on an annualised basis. "--" indicates that no information is available or not applicable. Non-general schemes that are specifically targeted towards younger or older age-groups are not shown.</t>
  </si>
  <si>
    <t>3. Gross = gross employment income; SSC = (employee) social security contributions; Net = Gross minus income taxes minus SSC.</t>
  </si>
  <si>
    <t>4. Phasing-out thresholds are shown for a single person working full-time if not indicated differently in country-specific footnotes.</t>
  </si>
  <si>
    <t>5. CAN: Phasing out thresholds for the OCCS refer to a lone parent.</t>
  </si>
  <si>
    <t>6. FRA: Amounts of Revenu de Solidarite Active received can reduce the amount of Prime pour l'emploi received. For example, lone parents with two children will tend to receive more RSA than PPE. PPE earnings thresholds and cut-outs are calculated assuming no RSA is received.</t>
  </si>
  <si>
    <t xml:space="preserve">7. IRE: Complete phase-out of FIS shown for family with one child. </t>
  </si>
  <si>
    <t>8. ISR: Phase out of non-wastable earned income tax shown for a family with up to two children.</t>
  </si>
  <si>
    <t>9. KOR: Phase out of earned income tax shown for a family with one earner with a non-working spouse and two children.</t>
  </si>
  <si>
    <t>10. LUX: Phase out thresholds for means test for social assistance includes complementary benefit and rent assistance.</t>
  </si>
  <si>
    <t>2. + (-) indicates a more (less) than proportional increase for each additional child. +/- for countries that give higher rates to the youngest and oldest age groups.</t>
  </si>
  <si>
    <t xml:space="preserve">4. AUS: Recipients of FTB and Parenting Payment in Australia are entitled to Clean Energy Advance (later substituted by Clean Energy Supplement) to offset the impacts of carbon pricing. </t>
  </si>
  <si>
    <t>6. HUN: Amount of mother/father allowance is divided by two as it is just given for a lone parent of two.</t>
  </si>
  <si>
    <t>8. ISR: Child allowance for children born on or after 1 June 2003, maximum benefit for a child below age 5.</t>
  </si>
  <si>
    <r>
      <t>Into-work benefit based on remaining unemployment benefit (</t>
    </r>
    <r>
      <rPr>
        <i/>
        <sz val="9"/>
        <rFont val="Arial"/>
        <family val="2"/>
      </rPr>
      <t>Indemnizatia de somaj</t>
    </r>
    <r>
      <rPr>
        <sz val="9"/>
        <rFont val="Arial"/>
        <family val="2"/>
      </rPr>
      <t>) claim</t>
    </r>
  </si>
  <si>
    <t>Tax treatment of benefits</t>
  </si>
  <si>
    <t>PT_UI_taxable</t>
  </si>
  <si>
    <t>PT_UA_taxable</t>
  </si>
  <si>
    <t>PT_FB_taxable</t>
  </si>
  <si>
    <t>PT_LP_taxable</t>
  </si>
  <si>
    <t>PT_HB_taxable</t>
  </si>
  <si>
    <t>PT_SA_taxable</t>
  </si>
  <si>
    <t>Legend:</t>
  </si>
  <si>
    <t>T</t>
  </si>
  <si>
    <t>Taxes are payable.</t>
  </si>
  <si>
    <t>T(n) or S(n)</t>
  </si>
  <si>
    <t>Long-term recipients will not pay the taxes</t>
  </si>
  <si>
    <t>(T)</t>
  </si>
  <si>
    <t>Taxes payable on parts of benefit.</t>
  </si>
  <si>
    <t>or SSC as the credits, allowances or zero</t>
  </si>
  <si>
    <t>S</t>
  </si>
  <si>
    <t>Social security contributions (SSC) are payable.</t>
  </si>
  <si>
    <t>rate bands exceed the benefit level.</t>
  </si>
  <si>
    <t>N</t>
  </si>
  <si>
    <t>Neither taxes nor SSC are levied.</t>
  </si>
  <si>
    <t xml:space="preserve">(reduced)
                            </t>
  </si>
  <si>
    <t>A reduced rate is payable for beneficiaries.</t>
  </si>
  <si>
    <t>No specific scheme / Does not apply.</t>
  </si>
  <si>
    <t>tc</t>
  </si>
  <si>
    <t>Benefit is a proportion of after tax income</t>
  </si>
  <si>
    <t>(and thus not taxable).</t>
  </si>
  <si>
    <t>Unemployment insurance benefit</t>
  </si>
  <si>
    <t>Unemployment assistance benefit</t>
  </si>
  <si>
    <r>
      <t>Lone-parent benefit</t>
    </r>
    <r>
      <rPr>
        <vertAlign val="superscript"/>
        <sz val="9"/>
        <rFont val="Arial"/>
        <family val="2"/>
      </rPr>
      <t>(1)</t>
    </r>
  </si>
  <si>
    <t>Housing benefit</t>
  </si>
  <si>
    <r>
      <t>France</t>
    </r>
    <r>
      <rPr>
        <vertAlign val="superscript"/>
        <sz val="9"/>
        <rFont val="Arial"/>
        <family val="2"/>
      </rPr>
      <t>(2)</t>
    </r>
  </si>
  <si>
    <r>
      <t>Luxembourg</t>
    </r>
    <r>
      <rPr>
        <vertAlign val="superscript"/>
        <sz val="9"/>
        <rFont val="Arial"/>
        <family val="2"/>
      </rPr>
      <t>(3)</t>
    </r>
  </si>
  <si>
    <r>
      <t>Spain</t>
    </r>
    <r>
      <rPr>
        <vertAlign val="superscript"/>
        <sz val="9"/>
        <rFont val="Arial"/>
        <family val="2"/>
      </rPr>
      <t>(5)</t>
    </r>
  </si>
  <si>
    <r>
      <t>Turkey</t>
    </r>
    <r>
      <rPr>
        <vertAlign val="superscript"/>
        <sz val="9"/>
        <rFont val="Arial"/>
        <family val="2"/>
      </rPr>
      <t>(6)</t>
    </r>
  </si>
  <si>
    <t>T(n)</t>
  </si>
  <si>
    <t>T, S (reduced)</t>
  </si>
  <si>
    <t>T, S (only health insurance contribution)</t>
  </si>
  <si>
    <t>T, S(reduced)</t>
  </si>
  <si>
    <t>T(n), S(n)</t>
  </si>
  <si>
    <t>T, S</t>
  </si>
  <si>
    <t>T (reduced)</t>
  </si>
  <si>
    <t>S (reduced)</t>
  </si>
  <si>
    <t>T (reduced), S(reduced)</t>
  </si>
  <si>
    <t>Y</t>
  </si>
  <si>
    <t>N/tc</t>
  </si>
  <si>
    <t>T(reduced)</t>
  </si>
  <si>
    <t>1.  Only countries that provide family benefit supplement or specific non-means-tested benefits.</t>
  </si>
  <si>
    <r>
      <t xml:space="preserve">2. FRA: Family and housing benefits are not taxable as such but are subject to an obligatory contribution of 0.5% to a social fund (CRDS - </t>
    </r>
    <r>
      <rPr>
        <i/>
        <sz val="9"/>
        <rFont val="Arial"/>
        <family val="2"/>
      </rPr>
      <t>contribution au remboursement de la dette sociale</t>
    </r>
    <r>
      <rPr>
        <sz val="9"/>
        <rFont val="Arial"/>
        <family val="2"/>
      </rPr>
      <t>).</t>
    </r>
  </si>
  <si>
    <t>3. LUX: Unemployment benefit recipients have to pay social contributions for health care, long-term care and for pensions. Social assistance benefit recipients pay full social security contributions payable with regard to the basic social assistance benefit, but pay only the sickness contributions and long term care contributions for the complementary benefit (includes rent assistance). The expensive life allowance is not taxable and no contributions to sickness and long-term care funds have to be made.</t>
  </si>
  <si>
    <t>4. NOR: Out of lone parent benefits only transitional benefit is taxable.</t>
  </si>
  <si>
    <t>5. ESP: If unemployment assistance benefit is the only income source, it is not taxable.</t>
  </si>
  <si>
    <t>6. TUR:  Unemployment insurance benefits subject to stamp tax but not income tax.</t>
  </si>
  <si>
    <r>
      <t xml:space="preserve">2. In some countries other schemes exist that aim at specific groups, </t>
    </r>
    <r>
      <rPr>
        <i/>
        <sz val="9"/>
        <rFont val="Arial"/>
        <family val="2"/>
      </rPr>
      <t>e.g.</t>
    </r>
    <r>
      <rPr>
        <sz val="9"/>
        <rFont val="Arial"/>
        <family val="2"/>
      </rPr>
      <t xml:space="preserve"> students, elderly or disabled.</t>
    </r>
  </si>
  <si>
    <t>5. DEU: Housing costs calculated with regard to the city of Berlin.</t>
  </si>
  <si>
    <t>6. ISR: Grade 45 is assumed for the calculation of housing benefit in Israel. If income from wage is under 25% above the income level credit (grade 46), a smaller benefit is awarded.</t>
  </si>
  <si>
    <t>7. NZL: Area 3 is considered.</t>
  </si>
  <si>
    <r>
      <rPr>
        <i/>
        <sz val="9"/>
        <rFont val="Arial"/>
        <family val="2"/>
      </rPr>
      <t>Unemployment benefit</t>
    </r>
    <r>
      <rPr>
        <sz val="9"/>
        <rFont val="Arial"/>
        <family val="2"/>
      </rPr>
      <t xml:space="preserve"> (UB, contributory)
</t>
    </r>
    <r>
      <rPr>
        <i/>
        <sz val="9"/>
        <rFont val="Arial"/>
        <family val="2"/>
      </rPr>
      <t>Special unemployment benefit</t>
    </r>
    <r>
      <rPr>
        <sz val="9"/>
        <rFont val="Arial"/>
        <family val="2"/>
      </rPr>
      <t xml:space="preserve"> (SUB, means-tested)</t>
    </r>
  </si>
  <si>
    <t>C: 12 out of last 16 months</t>
  </si>
  <si>
    <t>National guidelines, regions can set higher levels</t>
  </si>
  <si>
    <t>5.5%; Riga: 5.9%</t>
  </si>
  <si>
    <t>5.5%; Riga: 6.6%</t>
  </si>
  <si>
    <t>Dzīvokļa pabalsts</t>
  </si>
  <si>
    <r>
      <t>Maintenance guarantee fund (</t>
    </r>
    <r>
      <rPr>
        <i/>
        <sz val="9"/>
        <rFont val="Arial"/>
        <family val="2"/>
      </rPr>
      <t>valsts uztūrlīdzekļi bērniem</t>
    </r>
    <r>
      <rPr>
        <sz val="9"/>
        <rFont val="Arial"/>
        <family val="2"/>
      </rPr>
      <t>)</t>
    </r>
  </si>
  <si>
    <t>Unemployment and family benefits (except family state benefit and child birth benefit)</t>
  </si>
  <si>
    <t>Average Wages</t>
  </si>
  <si>
    <t>Average Wage 2018</t>
  </si>
  <si>
    <t>country_name</t>
  </si>
  <si>
    <t>AW</t>
  </si>
  <si>
    <t>Cyprus</t>
  </si>
  <si>
    <t>Average Wage estimated by the Centre for Tax Policy and Administration. For more information on methodology see the latest Taxing Wages publication.</t>
  </si>
  <si>
    <t>Zavarovanje za primer brezposelnosti</t>
  </si>
  <si>
    <t xml:space="preserve">All, except home care benefit for parent staying at home and the additional child allowance received by a lone parent family minus 20% of the amount of child allowance received for the first child in the first income bracket. </t>
  </si>
  <si>
    <t>- for fourth child, -- from thereon</t>
  </si>
  <si>
    <t>+ up to fifth child, - from thereon</t>
  </si>
  <si>
    <t>0 in lower income brackets, + in higher income brackets</t>
  </si>
  <si>
    <t xml:space="preserve"> 0 in lower income brackets, + in higher income brackets</t>
  </si>
  <si>
    <t>E + C: 9 out of last 24 months</t>
  </si>
  <si>
    <t>+ up to three children, 0 from thereon</t>
  </si>
  <si>
    <t>E + C: 180 days in the year previous to unemployment or UI exhausted or without any unemployment benefit for 180 days</t>
  </si>
  <si>
    <t>24 if on initial unemployment social allowance, 12 if on subsequent unemployment social allowance after exhausting unemployment insurance.</t>
  </si>
  <si>
    <t>80% or 64% for those who have been without any unemployment benefit for 180 days</t>
  </si>
  <si>
    <t>+ for children aged 12-36 months, otherwise 0</t>
  </si>
  <si>
    <t>100% in case where earnings less than maximum UI benefit and hours are less than full time work</t>
  </si>
  <si>
    <r>
      <t>Additional family benefit (</t>
    </r>
    <r>
      <rPr>
        <i/>
        <sz val="9"/>
        <rFont val="Arial"/>
        <family val="2"/>
      </rPr>
      <t>Abono de família para crianças e jovens</t>
    </r>
    <r>
      <rPr>
        <sz val="9"/>
        <rFont val="Arial"/>
        <family val="2"/>
      </rPr>
      <t>) for school-age children</t>
    </r>
  </si>
  <si>
    <t>6 to 16</t>
  </si>
  <si>
    <t>Fully withdrawn once income exceeds disregard</t>
  </si>
  <si>
    <t>Pomoc v hmotnej núdzi</t>
  </si>
  <si>
    <t>Housing allowance, health care allowance, activation allowance</t>
  </si>
  <si>
    <t>EUR 0 (0% of AW)</t>
  </si>
  <si>
    <t>All except for child allowance, childcare allowance and special allowance</t>
  </si>
  <si>
    <t>age or employment history</t>
  </si>
  <si>
    <t>Minimum income benefits that employ a low-income criterion as the central entitlement condition</t>
  </si>
  <si>
    <t>Employment-conditional benefits, re-employment allowances and additional entitlements for working families in other areas of the benefit system</t>
  </si>
  <si>
    <t xml:space="preserve">Working families may also receive support through the benefits described in other sheets, but these are not included here unless families receive a larger amount of benefit if their hours or earnings are above a particular level. </t>
  </si>
  <si>
    <t>G: + benefit duration increases with age.
G: + benefit duration increases with contribution history.</t>
  </si>
  <si>
    <t>G: + duration extended to 15 (18, 24) months if at least 50 (55, 58) years old.</t>
  </si>
  <si>
    <r>
      <rPr>
        <i/>
        <sz val="9"/>
        <rFont val="Arial"/>
        <family val="2"/>
      </rPr>
      <t>Grundsicherung für Arbeitssuchende / Arbeitslosengeld II</t>
    </r>
    <r>
      <rPr>
        <sz val="9"/>
        <rFont val="Arial"/>
        <family val="2"/>
      </rPr>
      <t xml:space="preserve"> (ALGII; "Hartz IV")</t>
    </r>
  </si>
  <si>
    <t>For a 40-year old single (where benefits are conditional on work history, the table assumes a long and uninterrupted employment record). Entitlements can differ for other groups of workers, see columns 12-14.</t>
  </si>
  <si>
    <r>
      <t>5. As of 1st January 2005, unemployment assistance and social assistance for persons who are able to work were combined into one benefit, the basic jobseeker's allowance (unemployment benefit II). The benefit is available for persons who are able to work and whose income is not sufficient to secure their own and their family's livelihood. Persons beyond working age or who are not able to work are eligible to social assistance (</t>
    </r>
    <r>
      <rPr>
        <i/>
        <sz val="9"/>
        <color theme="1"/>
        <rFont val="Arial"/>
        <family val="2"/>
      </rPr>
      <t>Sozialhilfe</t>
    </r>
    <r>
      <rPr>
        <sz val="9"/>
        <color theme="1"/>
        <rFont val="Arial"/>
        <family val="2"/>
      </rPr>
      <t xml:space="preserve">), which is based on the same basic amounts as unemployment benefit II. </t>
    </r>
  </si>
  <si>
    <t xml:space="preserve">Other benefits are counted towards the unemployment benefit II if they serve the same purpose (secure the recipients' livelihood), i.e. the payment of unemployment benefit II (incl. the housing benefit specific to unemployment benefit II recipients) is subordinate </t>
  </si>
  <si>
    <t>Benefit amount equals 1.15 times difference between eligible rent and a proportion of income that varies by income and eligible housing costs</t>
  </si>
  <si>
    <t>0 for second child, + for third and subsequent children</t>
  </si>
  <si>
    <r>
      <t>Child tax credit (</t>
    </r>
    <r>
      <rPr>
        <i/>
        <sz val="9"/>
        <rFont val="Arial"/>
        <family val="2"/>
      </rPr>
      <t>Kindergeld</t>
    </r>
    <r>
      <rPr>
        <sz val="9"/>
        <rFont val="Arial"/>
        <family val="2"/>
      </rPr>
      <t>)</t>
    </r>
  </si>
  <si>
    <t>Entitlement to the tax allowance or tax credit for children</t>
  </si>
  <si>
    <r>
      <t>Tax allowance for lone parents (</t>
    </r>
    <r>
      <rPr>
        <i/>
        <sz val="9"/>
        <rFont val="Arial"/>
        <family val="2"/>
      </rPr>
      <t>Entlastungsbetrag für Alleinerziehende</t>
    </r>
    <r>
      <rPr>
        <sz val="9"/>
        <rFont val="Arial"/>
        <family val="2"/>
      </rPr>
      <t>)</t>
    </r>
  </si>
  <si>
    <t xml:space="preserve"> + for second and subsequent children</t>
  </si>
  <si>
    <r>
      <t>Tax allowance for children (</t>
    </r>
    <r>
      <rPr>
        <i/>
        <sz val="9"/>
        <rFont val="Arial"/>
        <family val="2"/>
      </rPr>
      <t>Kinderfreibetrag</t>
    </r>
    <r>
      <rPr>
        <sz val="9"/>
        <rFont val="Arial"/>
        <family val="2"/>
      </rPr>
      <t>)</t>
    </r>
  </si>
  <si>
    <t xml:space="preserve">If the value of the child tax credit is less than the relief calculated applying the child tax allowance, the taxpayer obtains the tax allowance instead of the tax credit </t>
  </si>
  <si>
    <t xml:space="preserve"> 0 for second child, + for third child, + for fourth and subsequent children</t>
  </si>
  <si>
    <r>
      <t>Lone parent supplement to unemployment benefit II (</t>
    </r>
    <r>
      <rPr>
        <i/>
        <sz val="9"/>
        <rFont val="Arial"/>
        <family val="2"/>
      </rPr>
      <t>Grundsicherung für Arbeitssuchende</t>
    </r>
    <r>
      <rPr>
        <sz val="9"/>
        <rFont val="Arial"/>
        <family val="2"/>
      </rPr>
      <t>)</t>
    </r>
  </si>
  <si>
    <t>3.  All amounts are shown on an annualised basis for a couple family (unless the benefit is targeted to lone parents). AW = Average Wage of a full-time private sector employee. Where benefit is delivered through the tax system maximum amounts for non-wastable tax credits and allowances are shown where applicable.</t>
  </si>
  <si>
    <t xml:space="preserve"> + if per child payment more advantageous than lump-sum</t>
  </si>
  <si>
    <r>
      <t>Alimony advance for lone parents (</t>
    </r>
    <r>
      <rPr>
        <i/>
        <sz val="9"/>
        <rFont val="Arial"/>
        <family val="2"/>
      </rPr>
      <t>Unterhaltsvorschuss</t>
    </r>
    <r>
      <rPr>
        <sz val="9"/>
        <rFont val="Arial"/>
        <family val="2"/>
      </rPr>
      <t>)</t>
    </r>
  </si>
  <si>
    <t xml:space="preserve"> + </t>
  </si>
  <si>
    <t>All other benefits serving the same purpose (secure the recipients' livelihood) are counted towards social assistance, which is a benefit of 'last resort'</t>
  </si>
  <si>
    <t>Until day 10: flat rate 29% AW, From day 11 until month 3: 70% of reference earnings</t>
  </si>
  <si>
    <t>From month 4: Flat rate of 29% AW</t>
  </si>
  <si>
    <t>Fjárhagsaðstoð sveitarfélaga</t>
  </si>
  <si>
    <t>Húsnæðisbætur</t>
  </si>
  <si>
    <t>Maximum benefit amount dependent on number of dwellers. Reduced by 9% of income above a threshold.</t>
  </si>
  <si>
    <t>Notstandshilfe</t>
  </si>
  <si>
    <t>UI: can only be received after exhaustion of UI</t>
  </si>
  <si>
    <t>Previous basic UI benefit</t>
  </si>
  <si>
    <t>G: + higher disregard for those aged over 50</t>
  </si>
  <si>
    <t>G: + if in need (previous UI were below certain level so the reipient received UI supplement)</t>
  </si>
  <si>
    <t>5. AUT: benefit rates for city of Vienna.</t>
  </si>
  <si>
    <t>6. CAN: Basic allowance plus shelter allowance.</t>
  </si>
  <si>
    <t>8. HUN: The "regular social benefit" (rendszeres szociális segély) is not considered here as it is for persons incapable of performing work.</t>
  </si>
  <si>
    <r>
      <t>Germany</t>
    </r>
    <r>
      <rPr>
        <vertAlign val="superscript"/>
        <sz val="9"/>
        <rFont val="Arial"/>
        <family val="2"/>
      </rPr>
      <t>(7)</t>
    </r>
  </si>
  <si>
    <r>
      <t>Canada 
(Ontario)</t>
    </r>
    <r>
      <rPr>
        <vertAlign val="superscript"/>
        <sz val="9"/>
        <rFont val="Arial"/>
        <family val="2"/>
      </rPr>
      <t>(6)</t>
    </r>
  </si>
  <si>
    <t>All other benefits except family benefits and the family supplement to UI and UA</t>
  </si>
  <si>
    <t>Until day 90: 60%</t>
  </si>
  <si>
    <t>From day 91: 30%</t>
  </si>
  <si>
    <t>zajamčena minimalna naknada</t>
  </si>
  <si>
    <t>Unemployment benefits; subsidy for stay-at-home parent</t>
  </si>
  <si>
    <t>Naknada za troškove stanovanja</t>
  </si>
  <si>
    <t>Heating supplement (cash or in-kind) for social assistance recipients when heating with wood; supplement for covering energy cost</t>
  </si>
  <si>
    <t>Supplement to family benefit for lone parent</t>
  </si>
  <si>
    <t>n.a</t>
  </si>
  <si>
    <t>Child allowance - N, Stay-at-home subsidy -  T, S (reduced)</t>
  </si>
  <si>
    <t>Allgemeine Wohnbeihilfe</t>
  </si>
  <si>
    <r>
      <t>Varies across regions; housing benefit in Vienna is the difference between the "countable housing expenditure" (</t>
    </r>
    <r>
      <rPr>
        <i/>
        <sz val="9"/>
        <rFont val="Arial"/>
        <family val="2"/>
      </rPr>
      <t>anrechenbarer Wohnungsaufwand</t>
    </r>
    <r>
      <rPr>
        <sz val="9"/>
        <rFont val="Arial"/>
        <family val="2"/>
      </rPr>
      <t>) and the "reasonable housing expenditure" (</t>
    </r>
    <r>
      <rPr>
        <i/>
        <sz val="9"/>
        <rFont val="Arial"/>
        <family val="2"/>
      </rPr>
      <t>zumutbarer Wohnungsaufwand</t>
    </r>
    <r>
      <rPr>
        <sz val="9"/>
        <rFont val="Arial"/>
        <family val="2"/>
      </rPr>
      <t>).</t>
    </r>
  </si>
  <si>
    <r>
      <t>Social assistance rates include 25% of housing support (</t>
    </r>
    <r>
      <rPr>
        <i/>
        <sz val="9"/>
        <rFont val="Arial"/>
        <family val="2"/>
      </rPr>
      <t>Mindestsicherung-Mietbeihilfe</t>
    </r>
    <r>
      <rPr>
        <sz val="9"/>
        <rFont val="Arial"/>
        <family val="2"/>
      </rPr>
      <t>).</t>
    </r>
  </si>
  <si>
    <r>
      <t>Family allowance (</t>
    </r>
    <r>
      <rPr>
        <i/>
        <sz val="9"/>
        <rFont val="Arial"/>
        <family val="2"/>
      </rPr>
      <t>Familienbeihilfe</t>
    </r>
    <r>
      <rPr>
        <sz val="9"/>
        <rFont val="Arial"/>
        <family val="2"/>
      </rPr>
      <t>)</t>
    </r>
  </si>
  <si>
    <t>19 (24)</t>
  </si>
  <si>
    <t xml:space="preserve"> +</t>
  </si>
  <si>
    <r>
      <t>Sole earner’s and sole parent’s tax credit for families with children (</t>
    </r>
    <r>
      <rPr>
        <i/>
        <sz val="9"/>
        <rFont val="Arial"/>
        <family val="2"/>
      </rPr>
      <t>Alleinerzieherabsetzbetrag</t>
    </r>
    <r>
      <rPr>
        <sz val="9"/>
        <rFont val="Arial"/>
        <family val="2"/>
      </rPr>
      <t>)</t>
    </r>
  </si>
  <si>
    <r>
      <t>In-work benefit (</t>
    </r>
    <r>
      <rPr>
        <i/>
        <sz val="9"/>
        <rFont val="Arial"/>
        <family val="2"/>
      </rPr>
      <t>Kombilohnbeihilf</t>
    </r>
    <r>
      <rPr>
        <sz val="9"/>
        <rFont val="Arial"/>
        <family val="2"/>
      </rPr>
      <t>e)</t>
    </r>
  </si>
  <si>
    <t>Depends on previous unemployment benefits: benefit tops up earnings to 130% of previous unemployment benefit (which in turn depends on previous earnings)</t>
  </si>
  <si>
    <t>4. AUT: Benefit as granted by the city of Vienna. The maximum amount is based on the standard assumption of a 70 square metre dwelling. The actual maximum may vary with dwelling size.</t>
  </si>
  <si>
    <t>Unable to work more than 3 hours/week</t>
  </si>
  <si>
    <t>Sozialhilfe / Sozialgeld</t>
  </si>
  <si>
    <r>
      <t>7. DEU: As of 1st January 2005, unemployment assistance and social assistance for persons who are able to work were combined into one benefit, the basic jobseeker's allowance (unemployment benefit II). The benefit is available for persons who are able to work and whose income is not sufficient to secure their own and their family's livelihood. Persons beyond working age or who are not able to work are eligible to social assistance (</t>
    </r>
    <r>
      <rPr>
        <i/>
        <sz val="9"/>
        <rFont val="Arial"/>
        <family val="2"/>
      </rPr>
      <t>Sozialhilfe/Sozialgeld</t>
    </r>
    <r>
      <rPr>
        <sz val="9"/>
        <rFont val="Arial"/>
        <family val="2"/>
      </rPr>
      <t>), which is based on the same basic amounts as unemployment benefit II.</t>
    </r>
  </si>
  <si>
    <r>
      <t>Basic family allowance (</t>
    </r>
    <r>
      <rPr>
        <i/>
        <sz val="9"/>
        <rFont val="Arial"/>
        <family val="2"/>
      </rPr>
      <t>Alocaţia lunară de stat pentru copii</t>
    </r>
    <r>
      <rPr>
        <sz val="9"/>
        <rFont val="Arial"/>
        <family val="2"/>
      </rPr>
      <t>)</t>
    </r>
  </si>
  <si>
    <t>Benefit withdrawn in two steps, fully withdrawn when family net income per person exceed RON 530/month (15% of AW)</t>
  </si>
  <si>
    <t>Municipal benefit in an extraordinary situation; subsidized provision of school lunches, food, benefits for raising and educating children,etc.</t>
  </si>
  <si>
    <t>ανεργιακό επίδομα</t>
  </si>
  <si>
    <t>C: 26 weeks (of which 20 in the relevant contribution year) on earnings not less than basic insurable earnings</t>
  </si>
  <si>
    <t>E: + extended upper age limit if not eligible to old-age pension</t>
  </si>
  <si>
    <t>79% (including increases for dependants)</t>
  </si>
  <si>
    <t>Ελάχιστο εγγυημένο εισόδημα</t>
  </si>
  <si>
    <t>Unemployment and family benefits.</t>
  </si>
  <si>
    <t>Additional support for those receiving GMI. Provided to the beneficiary paying rent or living in an owned house for which they have to pay mortgage interest for the housing loan.</t>
  </si>
  <si>
    <r>
      <t xml:space="preserve">Child benefit </t>
    </r>
    <r>
      <rPr>
        <i/>
        <sz val="9"/>
        <rFont val="Arial"/>
        <family val="2"/>
      </rPr>
      <t>(Επίδομα τέκνου)</t>
    </r>
  </si>
  <si>
    <t>17(18)</t>
  </si>
  <si>
    <t>E + C: 12 out of last 30 months</t>
  </si>
  <si>
    <t>Socialinė pašalpa</t>
  </si>
  <si>
    <t xml:space="preserve">Support to pupils of 0.52% of AW </t>
  </si>
  <si>
    <r>
      <t>Austria</t>
    </r>
    <r>
      <rPr>
        <vertAlign val="superscript"/>
        <sz val="9"/>
        <rFont val="Arial"/>
        <family val="2"/>
      </rPr>
      <t>(5)</t>
    </r>
    <r>
      <rPr>
        <sz val="9"/>
        <rFont val="Arial"/>
        <family val="2"/>
      </rPr>
      <t xml:space="preserve"> </t>
    </r>
  </si>
  <si>
    <t>48-84% (depending on family composition)</t>
  </si>
  <si>
    <t>G: -20% months 12 to 24, 
-30% months 24 to 36, 
-40% months 36 to 48, 
-50% months 48 to 60,
after 60 months paid in kind (the reduction is not applied if labour exchange did not offer a job or unemployed participated in social activity)</t>
  </si>
  <si>
    <r>
      <t xml:space="preserve">No general housing benefit but assistance for housing heating, cold and hot water </t>
    </r>
    <r>
      <rPr>
        <i/>
        <sz val="9"/>
        <rFont val="Arial"/>
        <family val="2"/>
      </rPr>
      <t>(Būsto šildymo, geriamojo ir karšto vandens išlaidų kompensacijos)</t>
    </r>
  </si>
  <si>
    <t>17(20)</t>
  </si>
  <si>
    <r>
      <t xml:space="preserve">Children's maintenance benefit </t>
    </r>
    <r>
      <rPr>
        <i/>
        <sz val="9"/>
        <rFont val="Arial"/>
        <family val="2"/>
      </rPr>
      <t>(vaikų išlaikymo išmokos)</t>
    </r>
  </si>
  <si>
    <r>
      <t xml:space="preserve">Additionally paid Social Benefit </t>
    </r>
    <r>
      <rPr>
        <i/>
        <sz val="9"/>
        <rFont val="Arial"/>
        <family val="2"/>
      </rPr>
      <t>(Papildomai skiriama socialinė pašalpa)</t>
    </r>
  </si>
  <si>
    <t>Up to 6 months</t>
  </si>
  <si>
    <r>
      <t xml:space="preserve">Guaranteed minimum income benefit </t>
    </r>
    <r>
      <rPr>
        <i/>
        <sz val="9"/>
        <rFont val="Arial"/>
        <family val="2"/>
      </rPr>
      <t>(garantētā minimālā ienākuma pabalsts)</t>
    </r>
  </si>
  <si>
    <t>Net earnings up to net minimum wage for 3 months if starts a new job</t>
  </si>
  <si>
    <t xml:space="preserve">Benefit is paid on "eligible rent" which may differ from contractual rent if the rent includes other charges that are not eligible or the rent is deemed excessive up to a maximum that varies by locality. Benefit is this amount less 65% of difference between net resources and social assistance rates. For those on social assistance benefit amounts to "eligible rent". </t>
  </si>
  <si>
    <t>Low-income working families</t>
  </si>
  <si>
    <t>G: + lump-sum bonus for (S)UP recipients of 1% of AW;+ additional benefit through supplementary allowance if income less social security contributions below 39% of AW</t>
  </si>
  <si>
    <t>G: + lump-sum bonus for (S)UP recipients of 1% of AW</t>
  </si>
  <si>
    <t>Family gross income minus employee social security contributions.</t>
  </si>
  <si>
    <r>
      <t xml:space="preserve">Peruspäiväraha </t>
    </r>
    <r>
      <rPr>
        <sz val="9"/>
        <rFont val="Arial"/>
        <family val="2"/>
      </rPr>
      <t>(basic flat rate benefit)</t>
    </r>
    <r>
      <rPr>
        <i/>
        <sz val="9"/>
        <rFont val="Arial"/>
        <family val="2"/>
      </rPr>
      <t>; Ansiosidonnainen työttömyyspäiväraha</t>
    </r>
    <r>
      <rPr>
        <sz val="9"/>
        <rFont val="Arial"/>
        <family val="2"/>
      </rPr>
      <t xml:space="preserve"> (earnings-related benefit)</t>
    </r>
  </si>
  <si>
    <t>E + C: 26 weeks (min 18 hours / week) in last 28 months; for earnings-related benefit the condition should be satisfied during the period of
membership in unemployment fund</t>
  </si>
  <si>
    <t>G: + for children under 18 (3-6% of AW based on the number of children)</t>
  </si>
  <si>
    <t>80% below earnings disregards, 
100% thereafter</t>
  </si>
  <si>
    <r>
      <t>3.  All amounts are shown on an annualised basis. "--" indicates that there is no such provision. AW = Average Wage of a full-time private sector employee. Couple with two children aged 4 and 6 with one parent employed if applicable. In Finland maximum housing benefit is calculated for municipality group I</t>
    </r>
    <r>
      <rPr>
        <sz val="9"/>
        <rFont val="Arial"/>
        <family val="2"/>
      </rPr>
      <t>. For Czech Republic municipality size of 50 000 to 99 999 inhabitants is chosen. For the Local Housing Allowance in the United Kingdom eligible housing costs for the broad rental market in the Maidstone region are chosen as a reference. Assumed region for Latvia is Riga.</t>
    </r>
  </si>
  <si>
    <r>
      <t xml:space="preserve">Maintenance allowance </t>
    </r>
    <r>
      <rPr>
        <i/>
        <sz val="9"/>
        <rFont val="Arial"/>
        <family val="2"/>
      </rPr>
      <t>(Elatustuki)</t>
    </r>
  </si>
  <si>
    <r>
      <t xml:space="preserve">Adjusted unemployment benefit </t>
    </r>
    <r>
      <rPr>
        <i/>
        <sz val="9"/>
        <rFont val="Arial"/>
        <family val="2"/>
      </rPr>
      <t>(Soviteltu työttömyysetuus)</t>
    </r>
  </si>
  <si>
    <t>Zasiłek dla bezrobotnych</t>
  </si>
  <si>
    <t>All other benefits (except family 500+ benefit)</t>
  </si>
  <si>
    <t xml:space="preserve"> + for 3rd and each next child</t>
  </si>
  <si>
    <t xml:space="preserve"> 0 for the first two children, -- thereonwards</t>
  </si>
  <si>
    <t xml:space="preserve">Social assistance rules are shown in the table "Social Assistance". In some countries, families can continue to receive social assistance benefits after returning to work for a certain period, or receive higher benefit amounts if they work more than a certain number of hours. These provisions are in the "Employment-related provisions" table. </t>
  </si>
  <si>
    <t xml:space="preserve">No benefit paid on days worked. Benefit stopped if claimant works for more than four days in a seven-day period. </t>
  </si>
  <si>
    <t xml:space="preserve">Jobseeker's Allowance </t>
  </si>
  <si>
    <r>
      <t xml:space="preserve">Ireland </t>
    </r>
    <r>
      <rPr>
        <vertAlign val="superscript"/>
        <sz val="9"/>
        <rFont val="Arial"/>
        <family val="2"/>
      </rPr>
      <t>(9)</t>
    </r>
  </si>
  <si>
    <t>9. IRL: See also Unemployment Assistance sheet for more details of this programme. For those who are unable to work and are not entitled to any other benefit, another social assistance benefit, Basic Supplementary Welfare Allowance is available. In practice, this is only claimed by asylum seekers, disabled people not entitled to any other benefit and those waiting for another benefit claim to be processed. However, the Rent Supplement in Supplementary Welfare Allowance is available more widely, see Housing Benefits sheet.</t>
  </si>
  <si>
    <t xml:space="preserve">12. GBR: See also Unemployment Assistance sheet for more details of this programme. For lone parents whose youngest child is under 5 and a few other groups, this programme is called Income Support (benefit amounts identical, but fewer job search requirements). </t>
  </si>
  <si>
    <t>Rent or mortgage interest supplements are normally calculated to ensure that a person, after the payment of rent or mortgage interest (up to a limit), has an income equal to the rate of SWA appropriate to their family circumstances less a weekly minimum contribution payable from their own resources. The weekly minimum contribution is €30 for a single adult household and €40 for couples.</t>
  </si>
  <si>
    <t>E + C: 180 days during last 12 months</t>
  </si>
  <si>
    <t>Flat rate of EUR164.61/month</t>
  </si>
  <si>
    <r>
      <t>Subsistence benefit (</t>
    </r>
    <r>
      <rPr>
        <i/>
        <sz val="9"/>
        <rFont val="Arial"/>
        <family val="2"/>
      </rPr>
      <t>toimetulekutoetus</t>
    </r>
    <r>
      <rPr>
        <sz val="9"/>
        <rFont val="Arial"/>
        <family val="2"/>
      </rPr>
      <t>)</t>
    </r>
  </si>
  <si>
    <t xml:space="preserve">Maintenance allowance </t>
  </si>
  <si>
    <t>Youngest child must be under 7</t>
  </si>
  <si>
    <t>Jobseeker's Transitional Payment</t>
  </si>
  <si>
    <t>Youngest child must be under 14</t>
  </si>
  <si>
    <t>7. IRE: Only the child increment and not the parent benefit rate is shown as the maximum benefit for the one-parent family payment and Jobseeker's Transitional Payment.</t>
  </si>
  <si>
    <t>Single Person Child Carer Credit</t>
  </si>
  <si>
    <t>Working Family Payment</t>
  </si>
  <si>
    <t>Back to Work Family Dividend</t>
  </si>
  <si>
    <t xml:space="preserve">None permitted, but re-employment allowance gives recipients a proportion of their remaining benefit entitlement as a lump sum. </t>
  </si>
  <si>
    <t>Social security benefits including pensions and unemployment insurance (including re-employment allowance), child allowance, child rearing allowance.</t>
  </si>
  <si>
    <t>Provision of benefits for securing housing / Rent assistance to social assistance recipients</t>
  </si>
  <si>
    <t>Beneficiaries must have income and assets below a certain threshold and be looking for work. 
Maximum benefit amount is actual rent paid up to a maximum set regionally. Benefit reduced if income exceeds a threshold.</t>
  </si>
  <si>
    <t>Child rearing allowance</t>
  </si>
  <si>
    <t>Generally 0 but + for third and subsequent children if aged 3-12</t>
  </si>
  <si>
    <t>Lower rate if income exceeds threshold</t>
  </si>
  <si>
    <t>Indemnité de chômage</t>
  </si>
  <si>
    <t>10. LUX: Social assistance rates include expensive life allowance.</t>
  </si>
  <si>
    <t>Subvention de loyer</t>
  </si>
  <si>
    <t>The “subvention de loyer” concerns households (applicant must be 18 years old and more) living in Luxembourg with low income and who rent or wish to rent a dwelling on the private market (households who rent social housing are excluded from this benefit). Furthermore, the rent must exceed more than 25% of the income and the applicant must not be owner of a dwelling in Luxembourg or abroad</t>
  </si>
  <si>
    <r>
      <t>Tax credit for lone-parent (</t>
    </r>
    <r>
      <rPr>
        <i/>
        <sz val="9"/>
        <rFont val="Arial"/>
        <family val="2"/>
      </rPr>
      <t>Crédit d’impôt monoparental</t>
    </r>
    <r>
      <rPr>
        <sz val="9"/>
        <rFont val="Arial"/>
        <family val="2"/>
      </rPr>
      <t>)</t>
    </r>
  </si>
  <si>
    <r>
      <t>Family benefit (</t>
    </r>
    <r>
      <rPr>
        <i/>
        <sz val="9"/>
        <rFont val="Arial"/>
        <family val="2"/>
      </rPr>
      <t>Allocation pour l’avenir des enfants</t>
    </r>
    <r>
      <rPr>
        <sz val="9"/>
        <rFont val="Arial"/>
        <family val="2"/>
      </rPr>
      <t>)</t>
    </r>
  </si>
  <si>
    <t>국민기초생활보장제도</t>
  </si>
  <si>
    <r>
      <t>Housing benefit for rented accommodation (</t>
    </r>
    <r>
      <rPr>
        <i/>
        <sz val="10"/>
        <rFont val="Arial"/>
        <family val="2"/>
      </rPr>
      <t>기초생활급여</t>
    </r>
    <r>
      <rPr>
        <sz val="10"/>
        <rFont val="Arial"/>
        <family val="2"/>
      </rPr>
      <t>)</t>
    </r>
  </si>
  <si>
    <t>Stand-alone programme to relieve the rent burden and to ensure the minimum housing standard for vulnerable households. The benefit amount is based on standard rental fees calculated according to region and the number of family members.</t>
  </si>
  <si>
    <t>12 (CRS), 4 (ACRS), enrolled in middle or high school (CES)</t>
  </si>
  <si>
    <t>Phase-out begins at KRW 21-25 million (44-53% of AW)</t>
  </si>
  <si>
    <t>1/2 of unused benefit</t>
  </si>
  <si>
    <t>Arbetslöshetsförsäkring inkomstrelaterad</t>
  </si>
  <si>
    <t>E: 6 in last 12 months;
C: member of insurance fund for at least 12 months</t>
  </si>
  <si>
    <t>60 weeks, then job and development guarantee programme for 90 weeks</t>
  </si>
  <si>
    <t>Until week 40: 80%</t>
  </si>
  <si>
    <t>From week 41: 70% 
After 60 weeks, job and development guarantee programme available, which pays 65% of previous earnings</t>
  </si>
  <si>
    <t>G: - benefit replacement rate falls more quickly for those aged under 25 without children (after 20 weeks rather than 40 weeks)</t>
  </si>
  <si>
    <t xml:space="preserve">G: + 450 days maximum duration with children
</t>
  </si>
  <si>
    <t>G: - maximum duration of 75 days for formerly part-time employed</t>
  </si>
  <si>
    <t>Arbetslöshetsförsäkring grundnivå</t>
  </si>
  <si>
    <t xml:space="preserve">E: at least 6 months (with at least 80 hours per month) in last 12, or 480 hours in 6 conituous months (with at least 50 hours per month)
</t>
  </si>
  <si>
    <t>60 weeks, then job development and guarantee programme for 90 weeks</t>
  </si>
  <si>
    <t>G: + 450 days maximum duration for those with children</t>
  </si>
  <si>
    <t>Unemployment insurance and assistance benefits, housing benefit, family and lone parent benefits</t>
  </si>
  <si>
    <t>G: + child rates generally increase with age</t>
  </si>
  <si>
    <t>G: + withdrawal rate falls from 100% to 75% after 6 months</t>
  </si>
  <si>
    <t>- (children over 16 receive benefits for only 10 months of the year)</t>
  </si>
  <si>
    <t>Between 32% and 4% as earnings rise</t>
  </si>
  <si>
    <t>8. JPN: Support discontinued at end of fiscal year 2014</t>
  </si>
  <si>
    <r>
      <t xml:space="preserve">Japan (Tokyo) </t>
    </r>
    <r>
      <rPr>
        <vertAlign val="superscript"/>
        <sz val="9"/>
        <rFont val="Arial"/>
        <family val="2"/>
      </rPr>
      <t>(8)</t>
    </r>
  </si>
  <si>
    <t>HUF 461,700 (11% of AW)</t>
  </si>
  <si>
    <t>Jobseeker Support</t>
  </si>
  <si>
    <t>Special Needs Grant, Temporary Additional Support</t>
  </si>
  <si>
    <t>Lone parent support (see Jobseeker support in Unemployment assistance and Social assistance)</t>
  </si>
  <si>
    <t xml:space="preserve"> --</t>
  </si>
  <si>
    <t>Depends on number and age of children, higher than 61% of AW</t>
  </si>
  <si>
    <t>2.7 times living minimum (varies by family size)</t>
  </si>
  <si>
    <t>Prestación por desempleo - Nivel Contributivo</t>
  </si>
  <si>
    <t>Renta Mínima de Inserción</t>
  </si>
  <si>
    <t>Arbejdsløshedsdagpenge og andre Akasseydelser</t>
  </si>
  <si>
    <t>24 in 3 years (see also column [12])</t>
  </si>
  <si>
    <r>
      <t>Child and youth allowance (</t>
    </r>
    <r>
      <rPr>
        <i/>
        <sz val="9"/>
        <rFont val="Arial"/>
        <family val="2"/>
      </rPr>
      <t>børnechecken</t>
    </r>
    <r>
      <rPr>
        <sz val="9"/>
        <rFont val="Arial"/>
        <family val="2"/>
      </rPr>
      <t>)</t>
    </r>
  </si>
  <si>
    <r>
      <t>Lone parent supplement to child and youth allowance (b</t>
    </r>
    <r>
      <rPr>
        <i/>
        <sz val="9"/>
        <rFont val="Arial"/>
        <family val="2"/>
      </rPr>
      <t>ørnetilskud til enlige</t>
    </r>
    <r>
      <rPr>
        <sz val="9"/>
        <rFont val="Arial"/>
        <family val="2"/>
      </rPr>
      <t>)</t>
    </r>
  </si>
  <si>
    <r>
      <t>Alimony advance (maintenance) payments (</t>
    </r>
    <r>
      <rPr>
        <i/>
        <sz val="9"/>
        <rFont val="Arial"/>
        <family val="2"/>
      </rPr>
      <t>børnetilskud ved faderskabssag eller ukendt far</t>
    </r>
    <r>
      <rPr>
        <sz val="9"/>
        <rFont val="Arial"/>
        <family val="2"/>
      </rPr>
      <t>)</t>
    </r>
  </si>
  <si>
    <t>8. USA: The information reflects the situation of the Michigan unemployment benefit scheme. Emergency Unemployment Compensation and Extended Benefits might be paid after exhaustion of regular UI but were not activated in 2018.</t>
  </si>
  <si>
    <t>13. USA: Amounts shown for Supplemental Nutrition Assistance Program (SNAP) only. See sheet "Familiy provisions" table for information on the Temporary Assistance for Needy Families (TANF) programme.</t>
  </si>
  <si>
    <t>Need to pass two means tests or all household members must be on TANF, State General Assistance or SSI</t>
  </si>
  <si>
    <t>Unemployment insurance and family benefits (TANF)</t>
  </si>
  <si>
    <t>Housing assistance via different programmes for very low income households exists locally in some states.</t>
  </si>
  <si>
    <t>10. USA: TANF rate for family of two, i.e. lone parent with one child.</t>
  </si>
  <si>
    <t>Preferential personal income tax rules for lone parents</t>
  </si>
  <si>
    <t>More generous basic allowance for lone parents</t>
  </si>
  <si>
    <t xml:space="preserve">11. USA: TANF means test for Michigan, phase-out for a single parent with two children. </t>
  </si>
  <si>
    <t>Benefit is reduced by 70% of any earnings</t>
  </si>
  <si>
    <t>Participatiewet</t>
  </si>
  <si>
    <t>Benefit for low-income households based on current rent levels and taxable income. Households have to pay part of rent ("standard rent") themselves; benefit covers 100% above this up to a "quality allowance limit" plus 65% of the remainder up to a ceiling/cap.</t>
  </si>
  <si>
    <t>12 to 17</t>
  </si>
  <si>
    <t>Income dependent combination credit for single parents or partner with lowest income</t>
  </si>
  <si>
    <t>Income dependent combination credit - for single parents or partner with lowest income</t>
  </si>
  <si>
    <t>Dagpenger under arbeidsløshet</t>
  </si>
  <si>
    <r>
      <t>Definition of reference earnings</t>
    </r>
    <r>
      <rPr>
        <vertAlign val="superscript"/>
        <sz val="10"/>
        <rFont val="Arial"/>
        <family val="2"/>
      </rPr>
      <t>(2)</t>
    </r>
  </si>
  <si>
    <t>G: - duration 12 months if previous income below certain threshold</t>
  </si>
  <si>
    <t>økonomisk stønad</t>
  </si>
  <si>
    <t>Allowance aims to secure those who have a combination of high housing costs and low income a reasonable accommodation. The benefit depends on the household’s total economic resources and housing costs. It is calculated as 73.7% of the difference between the housing expenses (up to a maximum which varies by region) and the "household's own expense" which depends on taxed income and wealth.</t>
  </si>
  <si>
    <r>
      <t>Child benefit (</t>
    </r>
    <r>
      <rPr>
        <i/>
        <sz val="9"/>
        <rFont val="Arial"/>
        <family val="2"/>
      </rPr>
      <t>barnetrygd</t>
    </r>
    <r>
      <rPr>
        <sz val="9"/>
        <rFont val="Arial"/>
        <family val="2"/>
      </rPr>
      <t>)</t>
    </r>
  </si>
  <si>
    <t>Recipient of Transitional benefit for lone parents</t>
  </si>
  <si>
    <r>
      <t>Child benefit (</t>
    </r>
    <r>
      <rPr>
        <i/>
        <sz val="9"/>
        <rFont val="Arial"/>
        <family val="2"/>
      </rPr>
      <t>barnetrygd</t>
    </r>
    <r>
      <rPr>
        <sz val="9"/>
        <rFont val="Arial"/>
        <family val="2"/>
      </rPr>
      <t>) - young child supplement for lone parents</t>
    </r>
  </si>
  <si>
    <r>
      <t>Child benefit (</t>
    </r>
    <r>
      <rPr>
        <i/>
        <sz val="9"/>
        <rFont val="Arial"/>
        <family val="2"/>
      </rPr>
      <t>barnetrygd</t>
    </r>
    <r>
      <rPr>
        <sz val="9"/>
        <rFont val="Arial"/>
        <family val="2"/>
      </rPr>
      <t>) - supplement for lone parents</t>
    </r>
  </si>
  <si>
    <r>
      <t>Transitional benefit for lone parents (</t>
    </r>
    <r>
      <rPr>
        <i/>
        <sz val="9"/>
        <rFont val="Arial"/>
        <family val="2"/>
      </rPr>
      <t>overgangsstønad</t>
    </r>
    <r>
      <rPr>
        <sz val="9"/>
        <rFont val="Arial"/>
        <family val="2"/>
      </rPr>
      <t>)</t>
    </r>
  </si>
  <si>
    <r>
      <t>Advance payments of child maintenance for lone parents (</t>
    </r>
    <r>
      <rPr>
        <i/>
        <sz val="9"/>
        <rFont val="Arial"/>
        <family val="2"/>
      </rPr>
      <t>bidragsforskott</t>
    </r>
    <r>
      <rPr>
        <sz val="9"/>
        <rFont val="Arial"/>
        <family val="2"/>
      </rPr>
      <t>)</t>
    </r>
  </si>
  <si>
    <t xml:space="preserve"> -- </t>
  </si>
  <si>
    <r>
      <t>Cash benefit for families with small children/ Home care benefit (</t>
    </r>
    <r>
      <rPr>
        <i/>
        <sz val="9"/>
        <rFont val="Arial"/>
        <family val="2"/>
      </rPr>
      <t>kontantstøtte</t>
    </r>
    <r>
      <rPr>
        <sz val="9"/>
        <rFont val="Arial"/>
        <family val="2"/>
      </rPr>
      <t>)</t>
    </r>
  </si>
  <si>
    <t>13-23 months</t>
  </si>
  <si>
    <t>Child not in public kindergarten</t>
  </si>
  <si>
    <r>
      <t>Tax allowance for lone parents (</t>
    </r>
    <r>
      <rPr>
        <i/>
        <sz val="9"/>
        <rFont val="Arial"/>
        <family val="2"/>
      </rPr>
      <t>særfradrag for enslige forsørgere</t>
    </r>
    <r>
      <rPr>
        <sz val="9"/>
        <rFont val="Arial"/>
        <family val="2"/>
      </rPr>
      <t>)</t>
    </r>
  </si>
  <si>
    <t>Housing alllowance for social assistance recipients</t>
  </si>
  <si>
    <t>11. NOR: Subsistance allowance based on governmental guidelines; housing allowance for Trondheim.</t>
  </si>
  <si>
    <t>Επιχορήγηση για το ενοίκιο και τους τόκους στεγαστικού δανείου</t>
  </si>
  <si>
    <r>
      <t xml:space="preserve">Single Parent Benefit </t>
    </r>
    <r>
      <rPr>
        <i/>
        <sz val="9"/>
        <rFont val="Arial"/>
        <family val="2"/>
      </rPr>
      <t>(Επίδομα μονογονεϊκής οικογένειας)</t>
    </r>
  </si>
  <si>
    <t>C: 3 months in 28 months</t>
  </si>
  <si>
    <r>
      <t>Social assistance (</t>
    </r>
    <r>
      <rPr>
        <i/>
        <sz val="9"/>
        <rFont val="Arial"/>
        <family val="2"/>
      </rPr>
      <t>Revenu Solidarité Active</t>
    </r>
    <r>
      <rPr>
        <sz val="9"/>
        <rFont val="Arial"/>
        <family val="2"/>
      </rPr>
      <t xml:space="preserve"> (RSA))</t>
    </r>
  </si>
  <si>
    <t>Unemployment, housing and most family benefits</t>
  </si>
  <si>
    <r>
      <t>Large family allowance (</t>
    </r>
    <r>
      <rPr>
        <i/>
        <sz val="9"/>
        <rFont val="Arial"/>
        <family val="2"/>
      </rPr>
      <t>Complément Familial</t>
    </r>
    <r>
      <rPr>
        <sz val="9"/>
        <rFont val="Arial"/>
        <family val="2"/>
      </rPr>
      <t xml:space="preserve"> (CF))</t>
    </r>
  </si>
  <si>
    <t>G: +/- lower benefit rates but higher income disregards for those aged under 22 on YA.
G: + single people aged 60 or over entitled to higher rate after receiving support for 9 consecutive months.</t>
  </si>
  <si>
    <t xml:space="preserve">Paid to eligible individuals and families who rent in the private rental market and community housing and are recipients of social security pensions or benefits and/or receiving more than the minimum rate of FTB Part A. Benefit amount 75% of rent above threshold until maximum reached. Benefit withdrawn after unemployment benefits fully withdrawn for those without children, and alongside FTB Part A for those with children. </t>
  </si>
  <si>
    <t>For end of year supplement, children must be up to date with their early childhood vaccinations, on a catch-up schedule according to the current Australian Immunisation Handbook, or have a valid exemption.</t>
  </si>
  <si>
    <t xml:space="preserve">For lone parents and higher earner in couples, benefit withdrawn in full if income exceeds threshold.
For lower earner in couples, withdrawal rate is 20%. </t>
  </si>
  <si>
    <t>Education and participation package; specific housing benefit for unemployment benefit II recipients; insurance contributions; additional allowances for specific needs (e.g. disability, pregnancy); one-off benefits</t>
  </si>
  <si>
    <t>Werklooshiedswet;
Toeslagenwet;
Inkomensvoorziening Oudere Werklozen</t>
  </si>
  <si>
    <t>lump sum payment</t>
  </si>
  <si>
    <t xml:space="preserve">Lump-sum of EUR 187.20 (based on basic unemployment benefit; lower in case of part-time or low income worker)
</t>
  </si>
  <si>
    <r>
      <t xml:space="preserve">Unemployment benefit for long-term unemployed </t>
    </r>
    <r>
      <rPr>
        <i/>
        <sz val="9"/>
        <rFont val="Arial"/>
        <family val="2"/>
      </rPr>
      <t>(Επίδομα Μακροχρονίως Ανέργων)</t>
    </r>
  </si>
  <si>
    <r>
      <t>Special aid after the end of payment of the unemployment allowance</t>
    </r>
    <r>
      <rPr>
        <i/>
        <sz val="9"/>
        <rFont val="Arial"/>
        <family val="2"/>
      </rPr>
      <t xml:space="preserve"> (Ειδικό βοήθημα μετά τη Λήξη της Τακτικής Επιδοτησης Ανεργίας)</t>
    </r>
  </si>
  <si>
    <t>E + C: 60 days in the year before unemployment; as unemployed for 3 months</t>
  </si>
  <si>
    <t>3 payments of EUR 216 each (based on basic unemployment benefit)</t>
  </si>
  <si>
    <t>20% of earned income (in case of job take-up: 1st month - 100%; 2nd and 3rd months - 40%)</t>
  </si>
  <si>
    <t>All benefits (except foster care and non-contributory disability benefits)</t>
  </si>
  <si>
    <t>No general housing benefit, but special schemes for specific groups: housing allowance paid to tertiary education undergraduates, housing assistance for elderly over 65</t>
  </si>
  <si>
    <t>5. GRC: Employers in some sectors grant an additional 5% of work income per worker per child and 10% for the spouse (independent of her income).</t>
  </si>
  <si>
    <t>17(23)</t>
  </si>
  <si>
    <t>T (under conditions)</t>
  </si>
  <si>
    <t>Possible when working reduced hours of less than  3.9 days per week; paid on the basis of the member’s individual rate of unemployment benefits; max. 30 weeks within a period of 104 weeks</t>
  </si>
  <si>
    <t>15-35% of net earnings (depending on family composition) + 10-23% (implicit disregards provided by the formula)</t>
  </si>
  <si>
    <t>E + C: 13 weeks of contributions in the 4 years preceding the unemployment event and at least 30 days of work in the 12 months prior to the beginning of the period of unemployment</t>
  </si>
  <si>
    <t>Nuova Assucurazione Sociale per l'Impiego (NASPI)</t>
  </si>
  <si>
    <t xml:space="preserve">Rent subsidies are conditional on the availability of funds allocated in the National Fund for Rental Support. In 2018 the Government did not allocate resources to this fund. </t>
  </si>
  <si>
    <r>
      <t>Child benefit (</t>
    </r>
    <r>
      <rPr>
        <i/>
        <sz val="9"/>
        <rFont val="Arial"/>
        <family val="2"/>
      </rPr>
      <t>Assegno al nucleo Familiare</t>
    </r>
    <r>
      <rPr>
        <sz val="9"/>
        <rFont val="Arial"/>
        <family val="2"/>
      </rPr>
      <t>)</t>
    </r>
  </si>
  <si>
    <r>
      <t>Allowance for large families  (</t>
    </r>
    <r>
      <rPr>
        <i/>
        <sz val="9"/>
        <rFont val="Arial"/>
        <family val="2"/>
      </rPr>
      <t>Assegno per famiglie numerose</t>
    </r>
    <r>
      <rPr>
        <sz val="9"/>
        <rFont val="Arial"/>
        <family val="2"/>
      </rPr>
      <t>)</t>
    </r>
  </si>
  <si>
    <r>
      <t>Natality allowance (</t>
    </r>
    <r>
      <rPr>
        <i/>
        <sz val="9"/>
        <rFont val="Arial"/>
        <family val="2"/>
      </rPr>
      <t>bonus bebé</t>
    </r>
    <r>
      <rPr>
        <sz val="9"/>
        <rFont val="Arial"/>
        <family val="2"/>
      </rPr>
      <t>)</t>
    </r>
  </si>
  <si>
    <t>At least 70% of parents' earnings must derive from employed work or unemployment or old-age pensions for previous employees). Amounts reduced in proportion of days not worked during the year</t>
  </si>
  <si>
    <t>3. All amounts are shown on an annualised basis. "--" indicates that there is no such provision. AW = Average Wage of a full-time private sector employee. Social assistance rates include potential supplements and take account of other benefits in the means test. Actual rent is set to zero. Social assistance per child is calculated as 50% of the difference between the social assistance benefits that accrue to a couple with two children aged four and six and that received by a couple without children. Similarly, child-related payments for lone parents are calculated as 50% of the difference between the social assistance benefits that accrue to a lone parent with two children aged four and six and that received by a single person without children. In some countries the SA benefit for the lone parent may be lower than for a single person (or even zero) if income-dependent lone parent benefits are paid and are part of the means test for SA or cannot be paid simultaneously (see the specific comments for those countries).</t>
  </si>
  <si>
    <r>
      <t xml:space="preserve">United 
Kingdom </t>
    </r>
    <r>
      <rPr>
        <vertAlign val="superscript"/>
        <sz val="9"/>
        <rFont val="Arial"/>
        <family val="2"/>
      </rPr>
      <t>(12)</t>
    </r>
  </si>
  <si>
    <r>
      <t>United 
States</t>
    </r>
    <r>
      <rPr>
        <vertAlign val="superscript"/>
        <sz val="9"/>
        <rFont val="Arial"/>
        <family val="2"/>
      </rPr>
      <t>(13)</t>
    </r>
  </si>
  <si>
    <r>
      <t>Norway</t>
    </r>
    <r>
      <rPr>
        <vertAlign val="superscript"/>
        <sz val="9"/>
        <rFont val="Arial"/>
        <family val="2"/>
      </rPr>
      <t>(11)</t>
    </r>
  </si>
  <si>
    <t>Assurance Chômage / Arbeitslosenversicherung</t>
  </si>
  <si>
    <t>10-20 depending on income (see also column [13])</t>
  </si>
  <si>
    <t>Requirement to make use of all other private and/or public entitlements as a primary source of support</t>
  </si>
  <si>
    <t>Aide sociale / Sozialhilfe / Assistenza sociale</t>
  </si>
  <si>
    <r>
      <t>Family benefit (</t>
    </r>
    <r>
      <rPr>
        <i/>
        <sz val="9"/>
        <rFont val="Arial"/>
        <family val="2"/>
      </rPr>
      <t>Allocation familiales / Familienzulagen</t>
    </r>
    <r>
      <rPr>
        <sz val="9"/>
        <rFont val="Arial"/>
        <family val="2"/>
      </rPr>
      <t>)</t>
    </r>
  </si>
  <si>
    <t>15 (25)</t>
  </si>
  <si>
    <t>The amount of benefit is calculated by "credit score system" granting credit points of entitlement according to several parameters: family situation, number of children in the family, number of siblings of each parent, other benefits given to the family, age, income, benefits for particular groups, and living areas.</t>
  </si>
  <si>
    <t xml:space="preserve"> - </t>
  </si>
  <si>
    <t>Single parent tax credit</t>
  </si>
  <si>
    <t xml:space="preserve">Lone-parent family or family with 4 or more children that receives income support
</t>
  </si>
  <si>
    <t>1 month (except if didn't meet contributions requirements for UI)</t>
  </si>
  <si>
    <t>Benefit fully withdrawn if earnings above 75% of  minimum wage (25% of AW)</t>
  </si>
  <si>
    <t>6 (can be extended to 30 in some cases)</t>
  </si>
  <si>
    <t>8 calendar days (3 monthsif dismissed due to own fault)</t>
  </si>
  <si>
    <t>3 (30 for voluntary insured)</t>
  </si>
  <si>
    <t>156 days</t>
  </si>
  <si>
    <t xml:space="preserve">Between 80% and 43% depending on age and level of reference earnings </t>
  </si>
  <si>
    <t>From month 4, benefit amount reduced by 3% per month</t>
  </si>
  <si>
    <t>50 to 80% depending on level of reference earnings</t>
  </si>
  <si>
    <t>Until month 3: 60%</t>
  </si>
  <si>
    <t>From month 7: 30%</t>
  </si>
  <si>
    <t>G: - if less than 20 years of contributions (initial benefit is 55% of reference earnings if 10-19 years of contributions and 50% if 1-9 years, final benefit is half of initial benefit in each case)
G: + if more than 30 years of contributions (initial benefit is 65% of reference earnings and final benefit 32.5% of reference earnings)</t>
  </si>
  <si>
    <t>From month 4: Flat-rate of 13% of AW, plus 30% of reference earnings</t>
  </si>
  <si>
    <t>Until month 3: Flat-rate of 13% of AW, plus 50% of reference earnings</t>
  </si>
  <si>
    <t>Weekly benefit rate is 4.1% of reference earnings (see column [8])</t>
  </si>
  <si>
    <t>60% of basic insurable earnings plus 50% in excess of this amount</t>
  </si>
  <si>
    <t xml:space="preserve">Gross </t>
  </si>
  <si>
    <t>Generally none permitted (only for artistic self-employment)</t>
  </si>
  <si>
    <t>If current earnings below reference earnings, benefit is difference between current earnings and 75% of reference earnings. Otherwise no benefit payable</t>
  </si>
  <si>
    <t>NASpI payments are suspended if the jobseeker takes up a temporary employment of no more than 6 months and the expected annual taxable earnings from this job are above EUR 8,000. If taxable earnings are below EUR 8,000 a reduced benefit amount is still payable independently of the contract duration. The reduced benefit amount is equal to the original benefit amount minus 80% of the taxable earnings that are earned between the beginning of the new job and the end of the fiscal year</t>
  </si>
  <si>
    <t>Benefit reduced in proportion with working hours, full withdrawal when working more than half-time</t>
  </si>
  <si>
    <t xml:space="preserve">In general, benefit may be accumulated with earnings from part-time work or self-employment if earnings are below the UI amount; in this case UI benefit is equal to the difference between 1.35 times UI benefit and the earnings  </t>
  </si>
  <si>
    <t>None permitted, but lump-sum payment of 50% of remaining benefit claim (generally 6 months) if recipient takes up work after at least 3 months of unemployment</t>
  </si>
  <si>
    <t xml:space="preserve">Weekly benefit amount reduced by 50 cents for every dollar earned during that week; ineligible to benefits if earnings more than 1.5 times weekly benefit amount
</t>
  </si>
  <si>
    <t>Not permitted, except special types of work with income up to half the minimum wage</t>
  </si>
  <si>
    <t>Taking up part-time work paid less than the full-time national minimum wage may entitle inidviduals to 50% of their remaining unemployment insurance benefit</t>
  </si>
  <si>
    <t>When taking up work, 30% of benefit is paid for the rest of the entitlement period</t>
  </si>
  <si>
    <t>G: - shorter benefit duration if any gaps in employment record in last 6 years</t>
  </si>
  <si>
    <t>G: - lower benefit rate if aged under 25</t>
  </si>
  <si>
    <t>G: + longer benefit duration if aged 50 or over</t>
  </si>
  <si>
    <t xml:space="preserve">G: + option to prolong the benefit period by up to 1 year by working for a period of half a year during the benefit period
G: - minimum benefit (71.5% of maximum, see column [10]) for unemployed directly after graduation (82% if dependent children) and lower benefit (50% of maximum) for those aged 25 without sufficient education
G: - lower maximum benefit for those aged 60-65 who have contributed to an early retirement scheme </t>
  </si>
  <si>
    <t>G: - 9 months duration if contribution record less than 10 years; 6 months if less than 5 years</t>
  </si>
  <si>
    <t>G: - If employment record less than 3 years, only the basic benefit is paid for the last 100 days;
G: + longer duration for older workers under cetain conditions</t>
  </si>
  <si>
    <t>G: + longer duration for those aged 53 and over</t>
  </si>
  <si>
    <t xml:space="preserve">G: - duration from 5 to 12 months depending on the number of days worked during previous 14 months </t>
  </si>
  <si>
    <t>G: +/- lower maximum duration for those aged under 35 years, higher for those aged 45 or older</t>
  </si>
  <si>
    <t xml:space="preserve">G: - lower maximum amount for those aged under 30;
G: + higher maximum amount for those aged 45-59;
G: +/- due to different parameters for 60 to 65 year olds; lump sum payments for 65+ year olds;
G: - shorter benefit durations for those aged under 35 and those aged 60-64;
G: + longer benefit durations for those aged 45-59. </t>
  </si>
  <si>
    <t>G: - shorter duration if contribution record less than 10 years
G: +/- longer (shorter) duration for those aged over 50 (under 30)</t>
  </si>
  <si>
    <t>G: + benefit duration extended by 2 months of benefit for unemployed within 5 years of retirement age</t>
  </si>
  <si>
    <t>G: - if aged 19-21: benefit of 70% of minimum wage, - if aged under 18: 40% of minimum wage if education not completed; 
G: + longer benefit duration if aged 50 or over and more than 20 years of contributions</t>
  </si>
  <si>
    <t>G: - lower benefit amount for those with shorter contribution period (see note (7))</t>
  </si>
  <si>
    <t>G: + longer maximum duration if aged 55 or over;
G: - shorter maximum duration if aged below 25 without children</t>
  </si>
  <si>
    <t>G: +/- duration from 3 to 15 months depending on employment history; 
G: + extended benefit duration if within 5 years of retirement age with at least 32 years of contributions</t>
  </si>
  <si>
    <t>G: + family supplement for those with children</t>
  </si>
  <si>
    <t>G: + higher replacement rate for those with dependents from 2nd year of benefit receipt 
G: - lower replacement rate for those with a non-dependent spouse from 2nd year of benefit receipt</t>
  </si>
  <si>
    <t>G: + replacement rate 67% of net earnings if at least one dependent child</t>
  </si>
  <si>
    <t>G: + benefit amount 10% higher for every dependent family member of beneficiary</t>
  </si>
  <si>
    <t>G: + supplement of 1% of AW per child aged under 18</t>
  </si>
  <si>
    <t>G: + supplement for each dependent child; 
G: + supplement for dependent spouse</t>
  </si>
  <si>
    <t>G: + longer maximum duration if 3 or more dependents</t>
  </si>
  <si>
    <t>G: + 85% replacement rate for those with dependent children</t>
  </si>
  <si>
    <t>E: + 5 days waiting period if maintaining children &lt; 25
G: + replacement rate of 80% and higher maximum benefit for those with dependent children aged under 25</t>
  </si>
  <si>
    <t>G: + supplements for dependent spouse (8% of AW) and children (4% of AW per child up to a maximum of 2)</t>
  </si>
  <si>
    <t>G: + higher flat rate for households of two or more</t>
  </si>
  <si>
    <t>G: + if participation in specific ALMP; 
G: + if in need (UI below certain level)</t>
  </si>
  <si>
    <t>G: + higher allowance during participation in employment measures</t>
  </si>
  <si>
    <t>G: + longer benefit duration for those deemed difficult to re-employ;
E: - longer contribution requirement for those not unemployed as a result of bankruptcy or dismissal; 
G: - shorter benefit duration for those not unemployed as a result of bankruptcy or dismissal</t>
  </si>
  <si>
    <r>
      <t>G: + benefit topped up to 70-100% of minimum wage if low income depending on family situation (</t>
    </r>
    <r>
      <rPr>
        <i/>
        <sz val="9"/>
        <rFont val="Arial"/>
        <family val="2"/>
      </rPr>
      <t>Toeslagenwet</t>
    </r>
    <r>
      <rPr>
        <sz val="9"/>
        <rFont val="Arial"/>
        <family val="2"/>
      </rPr>
      <t xml:space="preserve">) </t>
    </r>
  </si>
  <si>
    <r>
      <t>G: +/- benefit duration varies by contribution record;
G: + extended duration for unemployed aged between 60 and legal retirement age (</t>
    </r>
    <r>
      <rPr>
        <i/>
        <sz val="9"/>
        <rFont val="Arial"/>
        <family val="2"/>
      </rPr>
      <t>Inkomensvoorziening Oudere Werklozen</t>
    </r>
    <r>
      <rPr>
        <sz val="9"/>
        <rFont val="Arial"/>
        <family val="2"/>
      </rPr>
      <t>)</t>
    </r>
  </si>
  <si>
    <t>G: - duration 180 days if unemployment rate in the local area does not exceed 150% of the average unemployment rate in the country</t>
  </si>
  <si>
    <t>G: + lump-sum bonusof 1% of AW;
G: + additional benefit through supplementary allowance if income less social security contributions below 39% of AW</t>
  </si>
  <si>
    <r>
      <t xml:space="preserve">Unemployment payments via </t>
    </r>
    <r>
      <rPr>
        <i/>
        <sz val="9"/>
        <rFont val="Arial"/>
        <family val="2"/>
      </rPr>
      <t>Newstart Allowance</t>
    </r>
    <r>
      <rPr>
        <sz val="9"/>
        <rFont val="Arial"/>
        <family val="2"/>
      </rPr>
      <t xml:space="preserve"> (NSA) if 22 or older and </t>
    </r>
    <r>
      <rPr>
        <i/>
        <sz val="9"/>
        <rFont val="Arial"/>
        <family val="2"/>
      </rPr>
      <t>Youth Allowance</t>
    </r>
    <r>
      <rPr>
        <sz val="9"/>
        <rFont val="Arial"/>
        <family val="2"/>
      </rPr>
      <t xml:space="preserve"> (YA) if under 22; </t>
    </r>
    <r>
      <rPr>
        <i/>
        <sz val="9"/>
        <rFont val="Arial"/>
        <family val="2"/>
      </rPr>
      <t>Parenting Payment (couple)</t>
    </r>
    <r>
      <rPr>
        <sz val="9"/>
        <rFont val="Arial"/>
        <family val="2"/>
      </rPr>
      <t xml:space="preserve"> with one member caring for a child under six similar to NSA</t>
    </r>
  </si>
  <si>
    <r>
      <t>Special aid for unemployed after a three-month registration (</t>
    </r>
    <r>
      <rPr>
        <i/>
        <sz val="9"/>
        <rFont val="Arial"/>
        <family val="2"/>
      </rPr>
      <t>Ειδικό βοήθημα μετά από τρίμηνη παραμονή στο Μητρώο Ανέργων</t>
    </r>
    <r>
      <rPr>
        <sz val="9"/>
        <rFont val="Arial"/>
        <family val="2"/>
      </rPr>
      <t>)</t>
    </r>
  </si>
  <si>
    <t>E + C: 12 contributions in past 24 months; at last 3 months continuous contributions with the same employer, resources of the individual account insufficient</t>
  </si>
  <si>
    <t>UI: UI expired, 20-66 years old, registered as unemployed for 12 months</t>
  </si>
  <si>
    <t>UI: UI expired</t>
  </si>
  <si>
    <t>UI: UI exhausted and has family responsibility; does not qualify for UI because not enough contributions; over 55 years old; other</t>
  </si>
  <si>
    <t>Prestaciones por desempleo de nivel asistencial</t>
  </si>
  <si>
    <t>Renta Activa de Inserción</t>
  </si>
  <si>
    <r>
      <t>Programa de recualificación professional,</t>
    </r>
    <r>
      <rPr>
        <sz val="9"/>
        <rFont val="Arial"/>
        <family val="2"/>
      </rPr>
      <t xml:space="preserve"> PREPARA</t>
    </r>
  </si>
  <si>
    <r>
      <t>Programa de activación para el empleo</t>
    </r>
    <r>
      <rPr>
        <sz val="9"/>
        <rFont val="Arial"/>
        <family val="2"/>
      </rPr>
      <t>, PAE</t>
    </r>
  </si>
  <si>
    <t>UI: 45-65 years old; UI and UA exhausted or not eligible; registered unemployed for 12 months; other</t>
  </si>
  <si>
    <t>UI: UI and UA exhausted or not eligible; long-term registered unemployed with family responsibilities</t>
  </si>
  <si>
    <t>UI: UI and UA exhausted or not eligible; registered unemployed for 9 months; other</t>
  </si>
  <si>
    <t>12 with a maximum of 5 (2) withdrawals for those with prior employment on a permanent (fixed term) contract</t>
  </si>
  <si>
    <t>3 payments 3 months apart</t>
  </si>
  <si>
    <t>Flat rate of AUD 538.80/fortnight plus energy supplement of AUD 8.80</t>
  </si>
  <si>
    <t>Flat rate of EUR 16.32 net/ day</t>
  </si>
  <si>
    <t>Flat-rate of EUR 32.40/day</t>
  </si>
  <si>
    <t>Flat rate of EUR 200 per month</t>
  </si>
  <si>
    <t>Flat rate of NZD 962.40/four weeks</t>
  </si>
  <si>
    <t>Flat rate of SEK 365/day</t>
  </si>
  <si>
    <t>Flat rate of GBP 73.10/week</t>
  </si>
  <si>
    <t>Flat rate of EUR 104.38/week</t>
  </si>
  <si>
    <t>Full cumulation for first 3 months when taking up a new job, then benefit fully withdrawn</t>
  </si>
  <si>
    <t>G: + no means test for those aged 55 and over
G: - partial labour market subsidy for those aged under 25 living with their parents looking for their first job</t>
  </si>
  <si>
    <t>G: - lower amount for those aged under 25</t>
  </si>
  <si>
    <t>E: - not available for under 20 year olds</t>
  </si>
  <si>
    <t>G: - lower benefit amounts for under 18 years old, and single people without children aged 18 to 24</t>
  </si>
  <si>
    <t>G: + more generous rate for those with children; lone parents may opt for Parenting Payment (Single) instead (see table on family benefits);
G: - individual rate lower for those in couples than for single people</t>
  </si>
  <si>
    <t>G: + per child supplement;
G: + higher disregard for couples</t>
  </si>
  <si>
    <t>G: + child supplement</t>
  </si>
  <si>
    <t xml:space="preserve">G: + spouse addition, which is higher if they are unemployed;
G: + child additions varying by age, and supplements for school-aged children;
G: + lone parent supplement;
G: + thresholds at which withdrawal rates increase higher for those with children
</t>
  </si>
  <si>
    <t xml:space="preserve">G: + benefit amount increased by 10% for every dependent family member </t>
  </si>
  <si>
    <t>G: + supplement for each dependent child; 
G: + for dependent spouse.</t>
  </si>
  <si>
    <t>G: + higher rate for lone parents;
G: + higher rate for couples;
G: + higher rate for couples with children</t>
  </si>
  <si>
    <t>G: + higher rate for couples</t>
  </si>
  <si>
    <t>G: + longer maximum duration of 30 months if previously entitled to UI and has dependents;
G: + if at least two dependents</t>
  </si>
  <si>
    <t>E: - not available to those aged under 45</t>
  </si>
  <si>
    <t>G: + increases for each dependent</t>
  </si>
  <si>
    <t xml:space="preserve">G: + during participation in employment measures;
</t>
  </si>
  <si>
    <r>
      <t>Social Solidarity Income (</t>
    </r>
    <r>
      <rPr>
        <i/>
        <sz val="9"/>
        <rFont val="Arial"/>
        <family val="2"/>
      </rPr>
      <t>Κοινωνικό Εισόδημα Αλληλεγγύης</t>
    </r>
    <r>
      <rPr>
        <sz val="9"/>
        <rFont val="Arial"/>
        <family val="2"/>
      </rPr>
      <t>, KEA)</t>
    </r>
  </si>
  <si>
    <r>
      <rPr>
        <i/>
        <sz val="9"/>
        <rFont val="Arial"/>
        <family val="2"/>
      </rPr>
      <t>Reddito di Inclusione</t>
    </r>
    <r>
      <rPr>
        <sz val="9"/>
        <rFont val="Arial"/>
        <family val="2"/>
      </rPr>
      <t xml:space="preserve"> (REI)</t>
    </r>
  </si>
  <si>
    <t>18 with exceptions if claimant has children, is pregnant or married or has had a partner for more than 2 years</t>
  </si>
  <si>
    <t>25 (except if has dependents or unable to work)</t>
  </si>
  <si>
    <t>21 (except in exceptional circumstances)</t>
  </si>
  <si>
    <t>28 (unless married, a single parent, an orhpan, or disabled)</t>
  </si>
  <si>
    <t>Those under 22 receiving YA without upper secondary education must be participating in full-time training or education</t>
  </si>
  <si>
    <t>Have to sign a Participation Agreement that sets out employment assistance activities (e.g. looking for work, improving skills)</t>
  </si>
  <si>
    <t>School attendance of 85% for children (6 to 18 years), regular attendance to health check-ups for children under 6</t>
  </si>
  <si>
    <t>Must be available for labor market/ activation measures (see also column [22])</t>
  </si>
  <si>
    <t>Behavioural requirements may be applied also to other adults in the household</t>
  </si>
  <si>
    <t>Job-search and work-availability obligations extend also to other adult household members unless they are in particular and certifiable circumstances (e.g. carers, disabled, in full-time education)</t>
  </si>
  <si>
    <t>Participation in self-help program</t>
  </si>
  <si>
    <t>If employed must work more than 2/3 of standard working hours (though in some cases part-time is allowed)</t>
  </si>
  <si>
    <t xml:space="preserve">Job-search and work-availability obligations extend also to claimant's spouse </t>
  </si>
  <si>
    <t>Work test obligations apply to family members if no children or youngest child aged 14 or older</t>
  </si>
  <si>
    <t>Each family member has to be active in supporting themselves</t>
  </si>
  <si>
    <t>Partner and parents of the claimant are required to support the claimant as needed if possible</t>
  </si>
  <si>
    <t>Claimant's partner must not work more than 16 hours per week. Claimant's partner also subject to job search requirements if no dependent children</t>
  </si>
  <si>
    <t xml:space="preserve">Unemployed must register with the territorial unit of the Employment Agency at least 6 months before filing application for social support and not have refused job offers </t>
  </si>
  <si>
    <t>Municipal with national guidelines</t>
  </si>
  <si>
    <t>Cantonal with national guidelines</t>
  </si>
  <si>
    <t xml:space="preserve">Heating supplement </t>
  </si>
  <si>
    <t>Energy Supplement</t>
  </si>
  <si>
    <t>Allowances for housing and regularly-recurring special needs</t>
  </si>
  <si>
    <t xml:space="preserve">Housing allowance </t>
  </si>
  <si>
    <r>
      <t>Housing benefit provided through subsistence benefit (</t>
    </r>
    <r>
      <rPr>
        <i/>
        <sz val="9"/>
        <rFont val="Arial"/>
        <family val="2"/>
      </rPr>
      <t>toimetulekutoetus</t>
    </r>
    <r>
      <rPr>
        <sz val="9"/>
        <rFont val="Arial"/>
        <family val="2"/>
      </rPr>
      <t>)</t>
    </r>
  </si>
  <si>
    <t>Additional allowances for housing and healthcare expenses.</t>
  </si>
  <si>
    <t>Additional low income support for households in mountainous and disadvantaged areas; free reconnection and power supply</t>
  </si>
  <si>
    <r>
      <t>Expensive life allowance (</t>
    </r>
    <r>
      <rPr>
        <i/>
        <sz val="9"/>
        <rFont val="Arial"/>
        <family val="2"/>
      </rPr>
      <t>Allocation de vie chère</t>
    </r>
    <r>
      <rPr>
        <sz val="9"/>
        <rFont val="Arial"/>
        <family val="2"/>
      </rPr>
      <t>)</t>
    </r>
  </si>
  <si>
    <t xml:space="preserve">Holiday allowance </t>
  </si>
  <si>
    <t>Housing allowance, heating and electricity allowance</t>
  </si>
  <si>
    <t>Housing supplement</t>
  </si>
  <si>
    <t>Housing allowance, supplements for extraordinary needs, care and assistance (including childcare) and disability.</t>
  </si>
  <si>
    <t>n.a. - lone parents receive special social assistance benefit (see family provisions sheet)</t>
  </si>
  <si>
    <t>Earnings disregard of up to DKK 26.78 per hour worked for maximum of 160 hours per month per person</t>
  </si>
  <si>
    <t>NZD 80 per week (6% of AW)</t>
  </si>
  <si>
    <t>Earnings fully disregarded for first 2 months after job entry (if signed social contract)</t>
  </si>
  <si>
    <t xml:space="preserve">No, but benefit increased by 28% if claimant working 60 to 128 hours per month, 56% if more than 128 hours; by 25% for another adult if they work 60 to 128 hours per month and 49% if more than 128 hours </t>
  </si>
  <si>
    <t>Minimex: 100%
AFG: Benefit fully withdrawn if income exceeds threshold</t>
  </si>
  <si>
    <t>Benefit fully withdrawal if income above defined poverty threshold</t>
  </si>
  <si>
    <t>100% 
For those entering work, 0% in months 1-2 and 50% in months 3-6</t>
  </si>
  <si>
    <t xml:space="preserve">Benefit not reduced for first three months of new employment </t>
  </si>
  <si>
    <r>
      <t xml:space="preserve">0% in first three months of new employment (see earnings disregard)
Generally those in work receive the </t>
    </r>
    <r>
      <rPr>
        <i/>
        <sz val="9"/>
        <rFont val="Arial"/>
        <family val="2"/>
      </rPr>
      <t>prime d'activité</t>
    </r>
    <r>
      <rPr>
        <sz val="9"/>
        <rFont val="Arial"/>
        <family val="2"/>
      </rPr>
      <t xml:space="preserve"> rather than RSA, see employment-related provisions sheet</t>
    </r>
  </si>
  <si>
    <t>Benefit fully withdrawn if able to work more than 3 hours/week</t>
  </si>
  <si>
    <t>80% 
For first month after entry into work - 0%; 2nd and 3rd months - 60%</t>
  </si>
  <si>
    <t>60% for lone parents and those aged 55 or over
62.5% for couples aged under 55 with one child
67.5% for couples aged under 55 with two or more children
70% for those without children aged under 55</t>
  </si>
  <si>
    <t>100%
50-90%  for students or the elderly or if enrolled in job rehabilitation programme or self-support cooperative</t>
  </si>
  <si>
    <t>100%
For those entering work, 0% for first 2 months (see column [16])</t>
  </si>
  <si>
    <t xml:space="preserve">80%, reduced to 50% during the first 12 months of work
</t>
  </si>
  <si>
    <t>100% for first six months, then 75%</t>
  </si>
  <si>
    <t xml:space="preserve">30% 
Benefit fully withdrawn if basic gross (counted net) monthly income above 130 (100) % of household-size specific poverty guideline
</t>
  </si>
  <si>
    <t>No but benefit increased by 15% if at least one family member employed</t>
  </si>
  <si>
    <t>100% 
Benefit not reduced for first 3 months if new job lifts family out of social assistance</t>
  </si>
  <si>
    <t>All other means-tested benefits</t>
  </si>
  <si>
    <t>G: - lower benefit amount for those aged under 30</t>
  </si>
  <si>
    <t>G: + higher rates for older children</t>
  </si>
  <si>
    <t>G: - lower rates for those aged under 26 without children</t>
  </si>
  <si>
    <t>G: + more generous rates and means test for those aged 55 or over;
G: - for those aged under 25</t>
  </si>
  <si>
    <t xml:space="preserve">E: +/- for eligiblity at least one household member must be under 18 years, disable, pregnant or unemployed over the age of 55
</t>
  </si>
  <si>
    <t>G: + higher rates for those aged under 20 or over 40</t>
  </si>
  <si>
    <t>G: - lower rates for those aged under 21</t>
  </si>
  <si>
    <t>G: - lower amount for young people aged under 25</t>
  </si>
  <si>
    <t>G: - lower benefit rate for those aged under 25 without children or not fulfilling integration or work requirements</t>
  </si>
  <si>
    <t>G: + higher rate for children aged over 14</t>
  </si>
  <si>
    <t>G: + single people aged 60 or over entitled to higher rate after receiving support for 9 continuous months</t>
  </si>
  <si>
    <t>G: - lower rate for second and subsequent children</t>
  </si>
  <si>
    <t>G: + higher rates if working (see earnings disregards column)</t>
  </si>
  <si>
    <t>G: + more generous earnings disregards for those with children</t>
  </si>
  <si>
    <r>
      <t>Subsistence benefit calculation considers 18m</t>
    </r>
    <r>
      <rPr>
        <vertAlign val="superscript"/>
        <sz val="9"/>
        <rFont val="Arial"/>
        <family val="2"/>
      </rPr>
      <t>2</t>
    </r>
    <r>
      <rPr>
        <sz val="9"/>
        <rFont val="Arial"/>
        <family val="2"/>
      </rPr>
      <t xml:space="preserve"> per each family member and in addition 15m</t>
    </r>
    <r>
      <rPr>
        <vertAlign val="superscript"/>
        <sz val="9"/>
        <rFont val="Arial"/>
        <family val="2"/>
      </rPr>
      <t>2</t>
    </r>
    <r>
      <rPr>
        <sz val="9"/>
        <rFont val="Arial"/>
        <family val="2"/>
      </rPr>
      <t xml:space="preserve"> per family as the standard limit size. The average housing costs covered by the subsistence benefit amount to 10% of AW.</t>
    </r>
  </si>
  <si>
    <r>
      <t>Housing benefit for recipients of unemployment benefit II (</t>
    </r>
    <r>
      <rPr>
        <i/>
        <sz val="9"/>
        <rFont val="Arial"/>
        <family val="2"/>
      </rPr>
      <t>Kosten der Unterkunft</t>
    </r>
    <r>
      <rPr>
        <sz val="9"/>
        <rFont val="Arial"/>
        <family val="2"/>
      </rPr>
      <t>)</t>
    </r>
  </si>
  <si>
    <r>
      <t>Child allowance (</t>
    </r>
    <r>
      <rPr>
        <i/>
        <sz val="9"/>
        <rFont val="Arial"/>
        <family val="2"/>
      </rPr>
      <t>קצבת ילדים</t>
    </r>
    <r>
      <rPr>
        <sz val="9"/>
        <rFont val="Arial"/>
        <family val="2"/>
      </rPr>
      <t>)</t>
    </r>
  </si>
  <si>
    <r>
      <t>Child allowance (</t>
    </r>
    <r>
      <rPr>
        <i/>
        <sz val="9"/>
        <rFont val="Arial"/>
        <family val="2"/>
      </rPr>
      <t>קצבת ילדים</t>
    </r>
    <r>
      <rPr>
        <sz val="9"/>
        <rFont val="Arial"/>
        <family val="2"/>
      </rPr>
      <t>) - Large family supplement</t>
    </r>
  </si>
  <si>
    <r>
      <t>Study grant (</t>
    </r>
    <r>
      <rPr>
        <i/>
        <sz val="9"/>
        <rFont val="Arial"/>
        <family val="2"/>
      </rPr>
      <t>מענק לימודים</t>
    </r>
    <r>
      <rPr>
        <sz val="9"/>
        <rFont val="Arial"/>
        <family val="2"/>
      </rPr>
      <t>)</t>
    </r>
  </si>
  <si>
    <r>
      <t>Child Care tax credit (</t>
    </r>
    <r>
      <rPr>
        <i/>
        <sz val="9"/>
        <rFont val="Arial"/>
        <family val="2"/>
      </rPr>
      <t>자녀장려금</t>
    </r>
    <r>
      <rPr>
        <sz val="9"/>
        <rFont val="Arial"/>
        <family val="2"/>
      </rPr>
      <t>)</t>
    </r>
  </si>
  <si>
    <r>
      <t>Family benefit (</t>
    </r>
    <r>
      <rPr>
        <i/>
        <sz val="9"/>
        <rFont val="Arial"/>
        <family val="2"/>
      </rPr>
      <t>išmoka vaikui</t>
    </r>
    <r>
      <rPr>
        <sz val="9"/>
        <rFont val="Arial"/>
        <family val="2"/>
      </rPr>
      <t>)</t>
    </r>
  </si>
  <si>
    <r>
      <t xml:space="preserve">Child benefit (based on law </t>
    </r>
    <r>
      <rPr>
        <i/>
        <sz val="9"/>
        <rFont val="Arial"/>
        <family val="2"/>
      </rPr>
      <t>Algemene Kinderbijslagwet</t>
    </r>
    <r>
      <rPr>
        <sz val="9"/>
        <rFont val="Arial"/>
        <family val="2"/>
      </rPr>
      <t>, AKW)</t>
    </r>
  </si>
  <si>
    <r>
      <t xml:space="preserve">Additional child benefit (based on law </t>
    </r>
    <r>
      <rPr>
        <i/>
        <sz val="9"/>
        <rFont val="Arial"/>
        <family val="2"/>
      </rPr>
      <t>Wet op het kindgebonden budget</t>
    </r>
    <r>
      <rPr>
        <sz val="9"/>
        <rFont val="Arial"/>
        <family val="2"/>
      </rPr>
      <t>, WKB)</t>
    </r>
  </si>
  <si>
    <r>
      <t xml:space="preserve">Additional child benefit (based on law </t>
    </r>
    <r>
      <rPr>
        <i/>
        <sz val="9"/>
        <rFont val="Arial"/>
        <family val="2"/>
      </rPr>
      <t>Wet op het kindgebonden budget</t>
    </r>
    <r>
      <rPr>
        <sz val="9"/>
        <rFont val="Arial"/>
        <family val="2"/>
      </rPr>
      <t>, WKB) - supplement for children between 12 and 17 years</t>
    </r>
  </si>
  <si>
    <r>
      <t xml:space="preserve">Additional child benefit (based on law </t>
    </r>
    <r>
      <rPr>
        <i/>
        <sz val="9"/>
        <rFont val="Arial"/>
        <family val="2"/>
      </rPr>
      <t>Wet op het kindgebonden budget</t>
    </r>
    <r>
      <rPr>
        <sz val="9"/>
        <rFont val="Arial"/>
        <family val="2"/>
      </rPr>
      <t>, WKB) - supplement for lone parents</t>
    </r>
  </si>
  <si>
    <r>
      <t>Family benefit (</t>
    </r>
    <r>
      <rPr>
        <i/>
        <sz val="9"/>
        <rFont val="Arial"/>
        <family val="2"/>
      </rPr>
      <t>Месечна помощ за дете до завършване на средно образование, но не повече от 20-
годишна възраст</t>
    </r>
    <r>
      <rPr>
        <sz val="9"/>
        <rFont val="Arial"/>
        <family val="2"/>
      </rPr>
      <t>)</t>
    </r>
  </si>
  <si>
    <r>
      <t>First grade school allowance (</t>
    </r>
    <r>
      <rPr>
        <i/>
        <sz val="9"/>
        <rFont val="Arial"/>
        <family val="2"/>
      </rPr>
      <t>Целева помощ за ученици</t>
    </r>
    <r>
      <rPr>
        <sz val="9"/>
        <rFont val="Arial"/>
        <family val="2"/>
      </rPr>
      <t>)</t>
    </r>
  </si>
  <si>
    <r>
      <t>Subsidy for stay-at-home parent (</t>
    </r>
    <r>
      <rPr>
        <i/>
        <sz val="9"/>
        <rFont val="Arial"/>
        <family val="2"/>
      </rPr>
      <t>Novčana pomoć za roditelja odgojitelja</t>
    </r>
    <r>
      <rPr>
        <sz val="9"/>
        <rFont val="Arial"/>
        <family val="2"/>
      </rPr>
      <t>), Zagreb</t>
    </r>
  </si>
  <si>
    <r>
      <t>Child allowance (</t>
    </r>
    <r>
      <rPr>
        <i/>
        <sz val="9"/>
        <rFont val="Arial"/>
        <family val="2"/>
      </rPr>
      <t>ΕΠΙΔΟΜΑ ΠΑΙΔΙΟΥ</t>
    </r>
    <r>
      <rPr>
        <sz val="9"/>
        <rFont val="Arial"/>
        <family val="2"/>
      </rPr>
      <t>)</t>
    </r>
  </si>
  <si>
    <t>Wider first tax bracket</t>
  </si>
  <si>
    <t xml:space="preserve">Targeted non-wastable tax credit </t>
  </si>
  <si>
    <t xml:space="preserve">Targeted </t>
  </si>
  <si>
    <t>6 to 15</t>
  </si>
  <si>
    <t>3 to 20</t>
  </si>
  <si>
    <t xml:space="preserve">6 to 18 </t>
  </si>
  <si>
    <t>At least 3 children</t>
  </si>
  <si>
    <t>Enrolled in compulsory education</t>
  </si>
  <si>
    <t>18 (no limit)</t>
  </si>
  <si>
    <t>Activity tested if youngest child aged 6 or over</t>
  </si>
  <si>
    <t>Youngest child up to 8</t>
  </si>
  <si>
    <t>Recipient of family allowance</t>
  </si>
  <si>
    <t xml:space="preserve">Long-term unemployed lone parent taking up at least half-time work on a permanent contract </t>
  </si>
  <si>
    <t>School attendance</t>
  </si>
  <si>
    <t>At least 2 children</t>
  </si>
  <si>
    <t>In receipt of child tax credit; family income above minimum and below maximum threshold</t>
  </si>
  <si>
    <t xml:space="preserve">Family must be recipient of unemployment benefit II, social assistance in case of old-age or partial reduction in earning capacity, supplementary child allowance or housing allowance;
Child must attend a general school or vocational training school </t>
  </si>
  <si>
    <t xml:space="preserve">Other parent does not regularly pay child alimony;
To receive child alimony benefits for children between age 12 and 17, the child cannot receive SGB II benefits anymore (e.g. unemployment benefit II) or the parent must earn at least EUR 600 per month
</t>
  </si>
  <si>
    <t>Lone parent
Must meet with PES to identify and access supports to prepare for full-time employment</t>
  </si>
  <si>
    <t>At least 3 children
Must receive subsistence benefit (for example income support or alimony payments)</t>
  </si>
  <si>
    <t>At least 4 children</t>
  </si>
  <si>
    <t>Recipient of child benefit with income below a certain ceiling</t>
  </si>
  <si>
    <t>Lone parent receiving child benefit with income below a certain ceiling</t>
  </si>
  <si>
    <t>Lone parent
If youngest dependent child 14 or older, parent has to work full-time</t>
  </si>
  <si>
    <t>Lone parent
Maintenance from absent parent not paid or paid late</t>
  </si>
  <si>
    <t>Lone parent working at least half-time</t>
  </si>
  <si>
    <t>If absent parent has not paid alimony for more than 3 months in a row</t>
  </si>
  <si>
    <t>One parent has no regular employment and takes care of at least 3 children; children do not attend kindergarten</t>
  </si>
  <si>
    <t>Lone parent not in receipt of unemployment or social assistance</t>
  </si>
  <si>
    <t>+ up to third child, 0 thereafter
Increase for long-term unemployed: - up to third child, 0 thereafter</t>
  </si>
  <si>
    <t>-  for second and third child, 0 thereafter</t>
  </si>
  <si>
    <t>- for second child, 0 thereafter</t>
  </si>
  <si>
    <t>0 for second child, + for third child, 0 thereafter</t>
  </si>
  <si>
    <t>no benefit for only child, + for second and third child, 0 thereafter</t>
  </si>
  <si>
    <t xml:space="preserve"> + up to the third child, 0 thereafter</t>
  </si>
  <si>
    <t>+ for second and third child, 0 thereafter</t>
  </si>
  <si>
    <t>+ for second child, 0 thereafter</t>
  </si>
  <si>
    <t>+ for third child, 0 thereafter</t>
  </si>
  <si>
    <t>+ for 2nd to 4th child, -- thereafter</t>
  </si>
  <si>
    <t>0 for third and fourth child, -- thereafter</t>
  </si>
  <si>
    <t>0 for second child, then --</t>
  </si>
  <si>
    <t>+ for up to 4 children, 0 thereafter</t>
  </si>
  <si>
    <t>Zero</t>
  </si>
  <si>
    <t>Yes, same as under unemployment benefit II (see unemployment assistance and social assistance tables)</t>
  </si>
  <si>
    <t>Benefit fully withdrawn when income exceeds threshold</t>
  </si>
  <si>
    <t>Universal with targeted supplement for one- and two-child families</t>
  </si>
  <si>
    <t>Supplement withdrawn if income exceeds threshold</t>
  </si>
  <si>
    <t>100% for the means-test against the income of children aged 19 or over</t>
  </si>
  <si>
    <t>Benefit fully withdrawn when gross earnings exceed threshold</t>
  </si>
  <si>
    <t>7% for one-child families, 13.5% for those with two or more</t>
  </si>
  <si>
    <t>Benefit fully withdrawn when net taxable income exceeds a threshold which varies by family size</t>
  </si>
  <si>
    <r>
      <t>No withdrawal if family is below intermediate threshold (</t>
    </r>
    <r>
      <rPr>
        <i/>
        <sz val="9"/>
        <rFont val="Arial"/>
        <family val="2"/>
      </rPr>
      <t>Bemessungsgrenze</t>
    </r>
    <r>
      <rPr>
        <sz val="9"/>
        <rFont val="Arial"/>
        <family val="2"/>
      </rPr>
      <t>, depends on hypothetical unemployment assistance rates and rent amounts);
50% if above intermediate but below maximum threshold</t>
    </r>
  </si>
  <si>
    <t>Benefit withdrawn if eligibility conditions not fulfuilled</t>
  </si>
  <si>
    <t>Yes, same as under unemployment benefit II (see unemployment assistance and social assistance sheets)</t>
  </si>
  <si>
    <t xml:space="preserve"> 4% for 1-child families, 6% for 2 children, 8% for 3, plus 4% for each child under 7</t>
  </si>
  <si>
    <t>Varies by family size and income</t>
  </si>
  <si>
    <t>1.86705% for main benefit, addition for second child withdrawn at a rate of 0.28786%, addition for third and subsequent children withdrawn at a rate of 0.17225%
Benefit fully withdrawn if income exceeds higher income threshold that varies by family size</t>
  </si>
  <si>
    <t>Benefit fully withdrawn when income exceeds a threshold that varies by family size</t>
  </si>
  <si>
    <t>Benefit fully withdrawn if net income per family member exceeds threshold</t>
  </si>
  <si>
    <t>See social assistancesheet</t>
  </si>
  <si>
    <t>See social assistance sheet</t>
  </si>
  <si>
    <t>Varies by number of children:
15.98% for one-child families
21.06% if two or more children</t>
  </si>
  <si>
    <t>Benefit fully withdrawn if gross income per family member above threshold</t>
  </si>
  <si>
    <r>
      <t>In-work benefit (</t>
    </r>
    <r>
      <rPr>
        <i/>
        <sz val="9"/>
        <rFont val="Arial"/>
        <family val="2"/>
      </rPr>
      <t>prime d'activité</t>
    </r>
    <r>
      <rPr>
        <sz val="9"/>
        <rFont val="Arial"/>
        <family val="2"/>
      </rPr>
      <t>)</t>
    </r>
  </si>
  <si>
    <r>
      <t>Early Re-employment Allowance (</t>
    </r>
    <r>
      <rPr>
        <i/>
        <sz val="9"/>
        <rFont val="Arial"/>
        <family val="2"/>
      </rPr>
      <t>조기재취업수당</t>
    </r>
    <r>
      <rPr>
        <sz val="9"/>
        <rFont val="Arial"/>
        <family val="2"/>
      </rPr>
      <t>)</t>
    </r>
  </si>
  <si>
    <r>
      <t>Earned income tax credit (</t>
    </r>
    <r>
      <rPr>
        <i/>
        <sz val="9"/>
        <rFont val="Arial"/>
        <family val="2"/>
      </rPr>
      <t>근로장려금</t>
    </r>
    <r>
      <rPr>
        <sz val="9"/>
        <rFont val="Arial"/>
        <family val="2"/>
      </rPr>
      <t>)</t>
    </r>
  </si>
  <si>
    <r>
      <t>In work benefit (</t>
    </r>
    <r>
      <rPr>
        <i/>
        <sz val="9"/>
        <rFont val="Arial"/>
        <family val="2"/>
      </rPr>
      <t>Beneficcju ta’ Waqt l-Impjieg</t>
    </r>
    <r>
      <rPr>
        <sz val="9"/>
        <rFont val="Arial"/>
        <family val="2"/>
      </rPr>
      <t>) paid to families, depends on household composition and income</t>
    </r>
  </si>
  <si>
    <t>Reduced social security contribution rates</t>
  </si>
  <si>
    <t>Re-employment provision in unemployment benefit</t>
  </si>
  <si>
    <t>Reduced social security contributions</t>
  </si>
  <si>
    <t>Re-employment provision in social assistance benefit</t>
  </si>
  <si>
    <t xml:space="preserve">Targeted wastable tax credit </t>
  </si>
  <si>
    <t>Higher rates of social assistance benefit</t>
  </si>
  <si>
    <t>Those returning to work who are over 45, handicapped or after parental leave who were registered as unemployed for more than 182 days</t>
  </si>
  <si>
    <t xml:space="preserve">Long-term unemployed lone parents taking up at least half-time work on a permanent contract </t>
  </si>
  <si>
    <t>Low earners</t>
  </si>
  <si>
    <t>Social assistance recipients starting employment (assistance activity) or training, or changing employment</t>
  </si>
  <si>
    <t>Women aged 25 to 59 in the most vulnerable 35% of the population</t>
  </si>
  <si>
    <t>Unemployment benefit (UB) recipients moving into half-time work</t>
  </si>
  <si>
    <t xml:space="preserve">Families moving into work and off an unemployment benefit or One Parent Family Payment </t>
  </si>
  <si>
    <t>Low-income working families with children</t>
  </si>
  <si>
    <t>Unemployment benefit recipients moving into work with at least one third of unemployment benefit entitlement remaining</t>
  </si>
  <si>
    <t>Unemployment benefit recipients moving into work with at least half of unemployment benefit entitlement remaining</t>
  </si>
  <si>
    <t>Low- to middle-income working families with children</t>
  </si>
  <si>
    <t>Social assistance benefit recipients moving into work</t>
  </si>
  <si>
    <t>Working lone parents and partner with lowest income in two-earner couple with children</t>
  </si>
  <si>
    <t xml:space="preserve">Working low-income lone parents </t>
  </si>
  <si>
    <t>Unemployment insurance benefit recipients moving into work and earning less than unemployment benefit</t>
  </si>
  <si>
    <t>Working social assistance benefit recipients</t>
  </si>
  <si>
    <t>Supplement to social assistance benefit</t>
  </si>
  <si>
    <t>Activation allowance in social assistance</t>
  </si>
  <si>
    <t>Special allowance in social assistance</t>
  </si>
  <si>
    <t>Benefit fully withdrawn if earnings exceed threshold</t>
  </si>
  <si>
    <t>Up to 12 months</t>
  </si>
  <si>
    <t>Low-earning families</t>
  </si>
  <si>
    <t>UI benefit recipients moving into work</t>
  </si>
  <si>
    <t>Unemployment benefit recipients moving into work</t>
  </si>
  <si>
    <t>Social assistance benefit recipients moving into work and off social assistance</t>
  </si>
  <si>
    <t>Up to 4 years</t>
  </si>
  <si>
    <t>Yes, must have been on social assistance and duration max. 3 months</t>
  </si>
  <si>
    <t>Yes, child aged up to 11</t>
  </si>
  <si>
    <t>Working full-time low- income families with children not receiving other benefits</t>
  </si>
  <si>
    <t>Yes, at least 20 hours per week (10 for those with severe disability)</t>
  </si>
  <si>
    <t>Yes, at least half-time</t>
  </si>
  <si>
    <t>Yes, at least 19 hours per week or 38 hours per fortnight</t>
  </si>
  <si>
    <t>Yes, at least 20 hours per week</t>
  </si>
  <si>
    <t>Yes, at least 20 hours per week for lone parents, combined 30 hours per week for couples</t>
  </si>
  <si>
    <t>Yes, see column [11]</t>
  </si>
  <si>
    <t>If accept full-time job with lower earnings than unemployment insurance benefit, 50% of unemployment benefit during first six months and 25% in following six months. 
If earnings are less than maximum UI benefit and hours are less than full time, UI benefit = (previous UI benefit*1.35 - income).</t>
  </si>
  <si>
    <t>Yes, +28% of benefit amount for first adult if they are working 60 to 128 hours per month, +56% if more than 128 hours
+ 25% of benefit amount for second adult if they are working 60 to 128 hours per month, +49% if more than 128 hours</t>
  </si>
  <si>
    <t>Yes, at least 30 hours per week for those without children, 24 hours combined for couples with children, 16 hours for lone parents and at least one person in a couple must work at least 16 hours per week</t>
  </si>
  <si>
    <t>Yes, less than full-time</t>
  </si>
  <si>
    <t>Yes, 6% of AW</t>
  </si>
  <si>
    <t>Yes, at least minimum monthly wage or minimum hourly pay</t>
  </si>
  <si>
    <t>Yes, 40% of AW</t>
  </si>
  <si>
    <t>Yes, 13% of AW</t>
  </si>
  <si>
    <t>Yes, must be sufficient to exhaust social assistance benefit entitlement</t>
  </si>
  <si>
    <t>Previous unemployment insurance or assistance benefit</t>
  </si>
  <si>
    <t>See unemployment insurance sheet: 50% of gross earnings are disregarded in the means test, so long as total income is not higher than 100% of reference earnings.</t>
  </si>
  <si>
    <t>See family provisions sheet</t>
  </si>
  <si>
    <t>Retain previous social assistance benefit amount for 3 months</t>
  </si>
  <si>
    <t>50% of previous social assistance benefit</t>
  </si>
  <si>
    <t>During first year of employment out of unemployment 50% of earnings from the new job are disregarded rather than 20%</t>
  </si>
  <si>
    <t>14.17% for singles;
22.22% for single-earner couples; 
25% for two-earner couples</t>
  </si>
  <si>
    <t>21.25% for singles;
22.22% for single-earner couples;
20.83% for two-earner couples</t>
  </si>
  <si>
    <t xml:space="preserve">24.96% for lone parents;
50% for two-earner couples;
No phase-in for single-earner couples
</t>
  </si>
  <si>
    <t>20% for lone parents;
30% for two-earner couples;
Stepped withdrawal for single-earner couples</t>
  </si>
  <si>
    <t>Marginal social security contribution rate approximately 9.8% higher in 'midi job' zone</t>
  </si>
  <si>
    <t>7.65% without children;
15.98% with one child;
21.06% with 2 or more children</t>
  </si>
  <si>
    <t>7.65% without children;
34% with one child;
40% with 2 children;
45% with 3 or more children</t>
  </si>
  <si>
    <t>Not paid if earnings higher than twice the monthly minimum wage or the minimum hourly pay</t>
  </si>
  <si>
    <t>G: + longer benefit duration for those aged 50 or over (up to 11 months)</t>
  </si>
  <si>
    <t>Where relevant, data relate to a prime-age individual (40 years old) with an uninterrupted employment record of 22 years. Entitlements can differ for other groups of workers, see columns 12-14.</t>
  </si>
  <si>
    <t>G: + duration longer for those with 25+ years of contribution (up to 12 months), and those aged over 50 with 25+ years of contributions (up to 25 months); 
G: - duration shorted for those with less than 15 years of contributions;
E: + shorter contribution requirement for those aged under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</si>
</sst>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quot;€&quot;* #,##0_);_(&quot;€&quot;* \(#,##0\);_(&quot;€&quot;* &quot;-&quot;_);_(@_)"/>
    <numFmt numFmtId="165" formatCode="0.0%"/>
    <numFmt numFmtId="166" formatCode="0.0"/>
    <numFmt numFmtId="167" formatCode="[$$-409]#,##0"/>
    <numFmt numFmtId="168" formatCode="&quot;€&quot;#,##0"/>
    <numFmt numFmtId="169" formatCode="#,##0\ [$Kč-405]"/>
    <numFmt numFmtId="170" formatCode="[$kr.-406]\ #,##0"/>
    <numFmt numFmtId="171" formatCode="#,##0\ [$Ft-40E]"/>
    <numFmt numFmtId="172" formatCode="#,##0\ [$kr.-40F]"/>
    <numFmt numFmtId="173" formatCode="[$₪-40D]\ #,##0"/>
    <numFmt numFmtId="174" formatCode="[$¥-411]#,##0"/>
    <numFmt numFmtId="175" formatCode="[$₩-412]#,##0"/>
    <numFmt numFmtId="176" formatCode="[$kr-414]\ #,##0"/>
    <numFmt numFmtId="177" formatCode="#,##0\ [$zł-415]"/>
    <numFmt numFmtId="178" formatCode="[$fr.-100C]\ #,##0"/>
    <numFmt numFmtId="179" formatCode="#,##0\ [$₺-41F]"/>
    <numFmt numFmtId="180" formatCode="[$£-809]#,##0"/>
    <numFmt numFmtId="181" formatCode="#,##0\ [$лв.-402]"/>
    <numFmt numFmtId="182" formatCode="#,##0\ [$kn-41A]"/>
    <numFmt numFmtId="183" formatCode="#,##0\ [$lei-418]"/>
    <numFmt numFmtId="184" formatCode="0.000"/>
  </numFmts>
  <fonts count="22" x14ac:knownFonts="1">
    <font>
      <sz val="10"/>
      <color theme="1"/>
      <name val="Arial"/>
      <family val="2"/>
    </font>
    <font>
      <sz val="10"/>
      <color theme="1"/>
      <name val="Arial"/>
      <family val="2"/>
    </font>
    <font>
      <sz val="10"/>
      <color rgb="FF006100"/>
      <name val="Arial"/>
      <family val="2"/>
    </font>
    <font>
      <i/>
      <sz val="9"/>
      <name val="Arial"/>
      <family val="2"/>
    </font>
    <font>
      <sz val="9"/>
      <name val="Arial"/>
      <family val="2"/>
    </font>
    <font>
      <u/>
      <sz val="9"/>
      <color theme="10"/>
      <name val="Arial"/>
      <family val="2"/>
    </font>
    <font>
      <b/>
      <sz val="14"/>
      <name val="Arial"/>
      <family val="2"/>
    </font>
    <font>
      <sz val="14"/>
      <name val="Arial"/>
      <family val="2"/>
    </font>
    <font>
      <sz val="10"/>
      <name val="Arial"/>
      <family val="2"/>
    </font>
    <font>
      <vertAlign val="superscript"/>
      <sz val="10"/>
      <name val="Arial"/>
      <family val="2"/>
    </font>
    <font>
      <b/>
      <sz val="9"/>
      <name val="Arial"/>
      <family val="2"/>
    </font>
    <font>
      <vertAlign val="superscript"/>
      <sz val="9"/>
      <name val="Arial"/>
      <family val="2"/>
    </font>
    <font>
      <u/>
      <sz val="9"/>
      <color rgb="FF0000FF"/>
      <name val="Arial"/>
      <family val="2"/>
    </font>
    <font>
      <sz val="9"/>
      <color theme="1"/>
      <name val="Arial"/>
      <family val="2"/>
    </font>
    <font>
      <b/>
      <sz val="9"/>
      <color indexed="81"/>
      <name val="Tahoma"/>
      <family val="2"/>
    </font>
    <font>
      <sz val="9"/>
      <color indexed="81"/>
      <name val="Tahoma"/>
      <family val="2"/>
    </font>
    <font>
      <i/>
      <sz val="10"/>
      <name val="Arial"/>
      <family val="2"/>
    </font>
    <font>
      <b/>
      <vertAlign val="superscript"/>
      <sz val="14"/>
      <name val="Arial"/>
      <family val="2"/>
    </font>
    <font>
      <vertAlign val="superscript"/>
      <sz val="9"/>
      <color theme="1"/>
      <name val="Arial"/>
      <family val="2"/>
    </font>
    <font>
      <i/>
      <sz val="10"/>
      <color theme="1"/>
      <name val="Arial"/>
      <family val="2"/>
    </font>
    <font>
      <sz val="12"/>
      <color theme="1"/>
      <name val="Arial"/>
      <family val="2"/>
    </font>
    <font>
      <i/>
      <sz val="9"/>
      <color theme="1"/>
      <name val="Arial"/>
      <family val="2"/>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FF"/>
        <bgColor rgb="FF000000"/>
      </patternFill>
    </fill>
    <fill>
      <patternFill patternType="solid">
        <fgColor rgb="FF92D050"/>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0" fontId="1" fillId="0" borderId="0"/>
    <xf numFmtId="0" fontId="4" fillId="0" borderId="0"/>
  </cellStyleXfs>
  <cellXfs count="636">
    <xf numFmtId="0" fontId="0" fillId="0" borderId="0" xfId="0"/>
    <xf numFmtId="0" fontId="3" fillId="0" borderId="0" xfId="0" applyFont="1" applyFill="1"/>
    <xf numFmtId="0" fontId="4" fillId="0" borderId="0" xfId="0" quotePrefix="1" applyFont="1"/>
    <xf numFmtId="0" fontId="3" fillId="0" borderId="0" xfId="0" applyFont="1" applyAlignment="1">
      <alignment horizontal="left" vertical="top"/>
    </xf>
    <xf numFmtId="0" fontId="3" fillId="0" borderId="0" xfId="0" applyFont="1" applyFill="1" applyAlignment="1">
      <alignment horizontal="left" vertical="center"/>
    </xf>
    <xf numFmtId="0" fontId="5" fillId="3" borderId="0" xfId="3" applyFill="1" applyBorder="1" applyAlignment="1" applyProtection="1">
      <alignment horizontal="left" vertical="center"/>
    </xf>
    <xf numFmtId="0" fontId="4" fillId="0" borderId="0" xfId="0" applyFont="1" applyFill="1" applyAlignment="1">
      <alignment horizontal="left" vertical="center"/>
    </xf>
    <xf numFmtId="0" fontId="4" fillId="0" borderId="1" xfId="0" applyNumberFormat="1" applyFont="1" applyFill="1" applyBorder="1" applyAlignment="1">
      <alignment horizontal="left" vertical="center"/>
    </xf>
    <xf numFmtId="0" fontId="0" fillId="0" borderId="0" xfId="0" applyNumberFormat="1" applyFill="1" applyAlignment="1">
      <alignment horizontal="left" vertical="top"/>
    </xf>
    <xf numFmtId="0" fontId="4" fillId="0" borderId="0" xfId="0" applyNumberFormat="1" applyFont="1" applyFill="1" applyBorder="1"/>
    <xf numFmtId="0" fontId="0" fillId="0" borderId="0" xfId="0" applyNumberFormat="1" applyFill="1"/>
    <xf numFmtId="0" fontId="4" fillId="0" borderId="1" xfId="0" applyNumberFormat="1" applyFont="1" applyFill="1" applyBorder="1"/>
    <xf numFmtId="0" fontId="4" fillId="0" borderId="0" xfId="0" applyFont="1" applyFill="1"/>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4" fillId="0" borderId="1" xfId="0" applyFont="1" applyFill="1" applyBorder="1"/>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0" fillId="0" borderId="15" xfId="0" applyFont="1" applyFill="1" applyBorder="1"/>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15" xfId="0" applyFont="1" applyFill="1" applyBorder="1" applyAlignment="1">
      <alignment vertical="top"/>
    </xf>
    <xf numFmtId="9" fontId="4" fillId="0" borderId="6" xfId="1" applyFont="1" applyFill="1" applyBorder="1" applyAlignment="1">
      <alignment horizontal="left" vertical="top" wrapText="1"/>
    </xf>
    <xf numFmtId="9" fontId="4" fillId="0" borderId="0" xfId="1" applyFont="1" applyFill="1" applyBorder="1" applyAlignment="1">
      <alignment horizontal="left" vertical="top" wrapText="1"/>
    </xf>
    <xf numFmtId="9" fontId="4" fillId="0" borderId="9" xfId="1" applyFont="1" applyFill="1" applyBorder="1" applyAlignment="1">
      <alignment horizontal="left" vertical="top" wrapText="1"/>
    </xf>
    <xf numFmtId="0" fontId="10" fillId="0" borderId="0" xfId="4" applyFont="1" applyFill="1" applyBorder="1" applyAlignment="1">
      <alignment vertical="top"/>
    </xf>
    <xf numFmtId="0" fontId="0" fillId="0" borderId="0" xfId="0" applyFill="1" applyBorder="1"/>
    <xf numFmtId="0" fontId="4" fillId="0" borderId="15" xfId="0" applyFont="1" applyFill="1" applyBorder="1" applyAlignment="1">
      <alignment horizontal="left" vertical="top"/>
    </xf>
    <xf numFmtId="0" fontId="0" fillId="0" borderId="0" xfId="0" applyFill="1"/>
    <xf numFmtId="0" fontId="4" fillId="0" borderId="0" xfId="4" applyFont="1" applyFill="1" applyBorder="1" applyAlignment="1"/>
    <xf numFmtId="0" fontId="4" fillId="0" borderId="0" xfId="0" applyFont="1" applyFill="1" applyAlignment="1">
      <alignment horizontal="left" vertical="top"/>
    </xf>
    <xf numFmtId="0" fontId="4" fillId="0" borderId="0" xfId="4" applyFont="1" applyFill="1" applyBorder="1" applyAlignment="1">
      <alignment vertical="top"/>
    </xf>
    <xf numFmtId="0" fontId="4" fillId="0" borderId="0" xfId="0" applyFont="1" applyFill="1" applyBorder="1" applyAlignment="1"/>
    <xf numFmtId="3" fontId="4" fillId="0" borderId="0" xfId="0" applyNumberFormat="1" applyFont="1" applyFill="1" applyBorder="1" applyAlignment="1">
      <alignment horizontal="right" vertical="top" indent="1"/>
    </xf>
    <xf numFmtId="0" fontId="4" fillId="0" borderId="0" xfId="0" applyFont="1" applyFill="1" applyBorder="1" applyAlignment="1">
      <alignment vertical="top" wrapText="1"/>
    </xf>
    <xf numFmtId="0" fontId="4" fillId="0" borderId="0" xfId="0" applyFont="1" applyFill="1" applyBorder="1" applyAlignment="1">
      <alignment horizontal="left" vertical="center"/>
    </xf>
    <xf numFmtId="0" fontId="4" fillId="0" borderId="0" xfId="0" applyFont="1" applyFill="1" applyBorder="1"/>
    <xf numFmtId="0" fontId="3" fillId="0" borderId="0" xfId="0" applyFont="1" applyFill="1" applyBorder="1"/>
    <xf numFmtId="0" fontId="4" fillId="0" borderId="0" xfId="0" applyFont="1" applyFill="1" applyBorder="1" applyAlignment="1">
      <alignment horizontal="left" vertical="top"/>
    </xf>
    <xf numFmtId="0" fontId="3" fillId="0" borderId="0" xfId="0" applyFont="1" applyFill="1" applyBorder="1" applyAlignment="1">
      <alignment horizontal="left" vertical="center"/>
    </xf>
    <xf numFmtId="0" fontId="12" fillId="4" borderId="0" xfId="3" applyFont="1" applyFill="1" applyBorder="1" applyAlignment="1" applyProtection="1">
      <alignment horizontal="left" vertical="center"/>
    </xf>
    <xf numFmtId="1" fontId="13" fillId="0" borderId="5" xfId="1" applyNumberFormat="1" applyFont="1" applyFill="1" applyBorder="1" applyAlignment="1">
      <alignment horizontal="left" vertical="top" wrapText="1"/>
    </xf>
    <xf numFmtId="1" fontId="13" fillId="0" borderId="6" xfId="1" applyNumberFormat="1" applyFont="1" applyFill="1" applyBorder="1" applyAlignment="1">
      <alignment horizontal="left" vertical="top" wrapText="1"/>
    </xf>
    <xf numFmtId="9" fontId="13" fillId="0" borderId="6" xfId="1" applyFont="1" applyFill="1" applyBorder="1" applyAlignment="1">
      <alignment horizontal="left" vertical="top" wrapText="1"/>
    </xf>
    <xf numFmtId="1" fontId="13" fillId="0" borderId="7" xfId="1" applyNumberFormat="1" applyFont="1" applyFill="1" applyBorder="1" applyAlignment="1">
      <alignment horizontal="left" vertical="top" wrapText="1"/>
    </xf>
    <xf numFmtId="0" fontId="4" fillId="0" borderId="8" xfId="0" applyFont="1" applyFill="1" applyBorder="1"/>
    <xf numFmtId="0" fontId="4" fillId="0" borderId="9" xfId="0" applyFont="1" applyFill="1" applyBorder="1"/>
    <xf numFmtId="1" fontId="4" fillId="0" borderId="8" xfId="1" applyNumberFormat="1" applyFont="1" applyFill="1" applyBorder="1" applyAlignment="1">
      <alignment horizontal="left" vertical="top" wrapText="1"/>
    </xf>
    <xf numFmtId="1" fontId="4" fillId="0" borderId="0" xfId="1" applyNumberFormat="1" applyFont="1" applyFill="1" applyBorder="1" applyAlignment="1">
      <alignment horizontal="left" vertical="top" wrapText="1"/>
    </xf>
    <xf numFmtId="9" fontId="4" fillId="0" borderId="8" xfId="1" applyFont="1" applyFill="1" applyBorder="1" applyAlignment="1">
      <alignment horizontal="left" vertical="top" wrapText="1"/>
    </xf>
    <xf numFmtId="1" fontId="4" fillId="0" borderId="9" xfId="1" applyNumberFormat="1" applyFont="1" applyFill="1" applyBorder="1" applyAlignment="1">
      <alignment horizontal="left" vertical="top" wrapText="1"/>
    </xf>
    <xf numFmtId="1" fontId="4" fillId="0" borderId="5" xfId="1" applyNumberFormat="1" applyFont="1" applyFill="1" applyBorder="1" applyAlignment="1">
      <alignment horizontal="left" vertical="top" wrapText="1"/>
    </xf>
    <xf numFmtId="1" fontId="4" fillId="0" borderId="6" xfId="1" applyNumberFormat="1" applyFont="1" applyFill="1" applyBorder="1" applyAlignment="1">
      <alignment horizontal="left" vertical="top" wrapText="1"/>
    </xf>
    <xf numFmtId="9" fontId="4" fillId="0" borderId="5" xfId="1" applyFont="1" applyFill="1" applyBorder="1" applyAlignment="1">
      <alignment horizontal="left" vertical="top" wrapText="1"/>
    </xf>
    <xf numFmtId="1" fontId="4" fillId="0" borderId="7" xfId="1" applyNumberFormat="1" applyFont="1" applyFill="1" applyBorder="1" applyAlignment="1">
      <alignment horizontal="left" vertical="top" wrapText="1"/>
    </xf>
    <xf numFmtId="1" fontId="3" fillId="0" borderId="5" xfId="1" applyNumberFormat="1" applyFont="1" applyFill="1" applyBorder="1" applyAlignment="1">
      <alignment horizontal="left" vertical="top" wrapText="1"/>
    </xf>
    <xf numFmtId="0" fontId="3" fillId="0" borderId="0" xfId="0" applyFont="1" applyFill="1" applyAlignment="1"/>
    <xf numFmtId="1" fontId="3" fillId="0" borderId="8" xfId="1" applyNumberFormat="1" applyFont="1" applyFill="1" applyBorder="1" applyAlignment="1">
      <alignment horizontal="left" vertical="top" wrapText="1"/>
    </xf>
    <xf numFmtId="1" fontId="3" fillId="0" borderId="5" xfId="2" applyNumberFormat="1" applyFont="1" applyFill="1" applyBorder="1" applyAlignment="1">
      <alignment horizontal="left" vertical="top" wrapText="1"/>
    </xf>
    <xf numFmtId="9" fontId="4" fillId="0" borderId="6" xfId="2" applyNumberFormat="1" applyFont="1" applyFill="1" applyBorder="1" applyAlignment="1">
      <alignment horizontal="left" vertical="top" wrapText="1"/>
    </xf>
    <xf numFmtId="1" fontId="4" fillId="0" borderId="6" xfId="2" applyNumberFormat="1" applyFont="1" applyFill="1" applyBorder="1" applyAlignment="1">
      <alignment horizontal="left" vertical="top" wrapText="1"/>
    </xf>
    <xf numFmtId="1" fontId="4" fillId="0" borderId="7" xfId="2" applyNumberFormat="1" applyFont="1" applyFill="1" applyBorder="1" applyAlignment="1">
      <alignment horizontal="left" vertical="top" wrapText="1"/>
    </xf>
    <xf numFmtId="9" fontId="4" fillId="0" borderId="5" xfId="2" applyNumberFormat="1" applyFont="1" applyFill="1" applyBorder="1" applyAlignment="1">
      <alignment horizontal="left" vertical="top" wrapText="1"/>
    </xf>
    <xf numFmtId="1" fontId="3" fillId="0" borderId="8" xfId="2" applyNumberFormat="1" applyFont="1" applyFill="1" applyBorder="1" applyAlignment="1">
      <alignment horizontal="left" vertical="top" wrapText="1"/>
    </xf>
    <xf numFmtId="9" fontId="4" fillId="0" borderId="8" xfId="2" applyNumberFormat="1" applyFont="1" applyFill="1" applyBorder="1" applyAlignment="1">
      <alignment horizontal="left" vertical="top" wrapText="1"/>
    </xf>
    <xf numFmtId="9" fontId="4" fillId="0" borderId="0" xfId="2" applyNumberFormat="1" applyFont="1" applyFill="1" applyBorder="1" applyAlignment="1">
      <alignment horizontal="left" vertical="top" wrapText="1"/>
    </xf>
    <xf numFmtId="1" fontId="4" fillId="0" borderId="8" xfId="2" applyNumberFormat="1" applyFont="1" applyFill="1" applyBorder="1" applyAlignment="1">
      <alignment horizontal="left" vertical="top" wrapText="1"/>
    </xf>
    <xf numFmtId="1" fontId="4" fillId="0" borderId="5" xfId="2" applyNumberFormat="1" applyFont="1" applyFill="1" applyBorder="1" applyAlignment="1">
      <alignment horizontal="left" vertical="top" wrapText="1"/>
    </xf>
    <xf numFmtId="1" fontId="4" fillId="0" borderId="0" xfId="2" applyNumberFormat="1" applyFont="1" applyFill="1" applyBorder="1" applyAlignment="1">
      <alignment horizontal="left" vertical="top" wrapText="1"/>
    </xf>
    <xf numFmtId="1" fontId="4" fillId="0" borderId="9" xfId="2" applyNumberFormat="1" applyFont="1" applyFill="1" applyBorder="1" applyAlignment="1">
      <alignment horizontal="left" vertical="top" wrapText="1"/>
    </xf>
    <xf numFmtId="9" fontId="4" fillId="0" borderId="9" xfId="2" applyNumberFormat="1" applyFont="1" applyFill="1" applyBorder="1" applyAlignment="1">
      <alignment horizontal="left" vertical="top" wrapText="1"/>
    </xf>
    <xf numFmtId="1" fontId="4" fillId="0" borderId="6" xfId="2" applyNumberFormat="1" applyFont="1" applyFill="1" applyBorder="1" applyAlignment="1">
      <alignment horizontal="left" vertical="center" wrapText="1"/>
    </xf>
    <xf numFmtId="1" fontId="4" fillId="0" borderId="7" xfId="2" applyNumberFormat="1" applyFont="1" applyFill="1" applyBorder="1" applyAlignment="1">
      <alignment horizontal="left" vertical="center" wrapText="1"/>
    </xf>
    <xf numFmtId="0" fontId="4" fillId="0" borderId="14" xfId="0" applyFont="1" applyFill="1" applyBorder="1" applyAlignment="1">
      <alignment vertical="top"/>
    </xf>
    <xf numFmtId="1" fontId="3" fillId="0" borderId="12" xfId="1" applyNumberFormat="1" applyFont="1" applyFill="1" applyBorder="1" applyAlignment="1">
      <alignment horizontal="left" vertical="top" wrapText="1"/>
    </xf>
    <xf numFmtId="1" fontId="4" fillId="0" borderId="1" xfId="1" applyNumberFormat="1" applyFont="1" applyFill="1" applyBorder="1" applyAlignment="1">
      <alignment horizontal="left" vertical="top" wrapText="1"/>
    </xf>
    <xf numFmtId="1" fontId="4" fillId="0" borderId="1" xfId="2" applyNumberFormat="1" applyFont="1" applyFill="1" applyBorder="1" applyAlignment="1">
      <alignment horizontal="left" vertical="top" wrapText="1"/>
    </xf>
    <xf numFmtId="1" fontId="4" fillId="0" borderId="13" xfId="1" applyNumberFormat="1" applyFont="1" applyFill="1" applyBorder="1" applyAlignment="1">
      <alignment horizontal="left" vertical="top" wrapText="1"/>
    </xf>
    <xf numFmtId="9" fontId="4" fillId="0" borderId="1" xfId="1" applyFont="1" applyFill="1" applyBorder="1" applyAlignment="1">
      <alignment horizontal="left" vertical="top" wrapText="1"/>
    </xf>
    <xf numFmtId="9" fontId="4" fillId="0" borderId="7" xfId="1" applyFont="1" applyFill="1" applyBorder="1" applyAlignment="1">
      <alignment horizontal="left" vertical="top" wrapText="1"/>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0" borderId="0" xfId="0" applyNumberFormat="1" applyFont="1" applyFill="1" applyBorder="1" applyAlignment="1">
      <alignment horizontal="left" vertical="top"/>
    </xf>
    <xf numFmtId="0" fontId="10" fillId="0" borderId="0" xfId="0" applyFont="1" applyFill="1" applyBorder="1"/>
    <xf numFmtId="0" fontId="4" fillId="0" borderId="6" xfId="1" applyNumberFormat="1" applyFont="1" applyFill="1" applyBorder="1" applyAlignment="1">
      <alignment horizontal="left" vertical="top" wrapText="1"/>
    </xf>
    <xf numFmtId="0" fontId="4" fillId="0" borderId="7" xfId="1" applyNumberFormat="1" applyFont="1" applyFill="1" applyBorder="1" applyAlignment="1">
      <alignment horizontal="left" vertical="top" wrapText="1"/>
    </xf>
    <xf numFmtId="0" fontId="10" fillId="0" borderId="12" xfId="4" applyFont="1" applyFill="1" applyBorder="1" applyAlignment="1">
      <alignment vertical="top"/>
    </xf>
    <xf numFmtId="0" fontId="4" fillId="0" borderId="1" xfId="0" applyFont="1" applyFill="1" applyBorder="1" applyAlignment="1">
      <alignment horizontal="right" vertical="top" indent="2"/>
    </xf>
    <xf numFmtId="0" fontId="4" fillId="0" borderId="13" xfId="0" applyFont="1" applyFill="1" applyBorder="1" applyAlignment="1">
      <alignment horizontal="right" vertical="top" indent="2"/>
    </xf>
    <xf numFmtId="1" fontId="4" fillId="0" borderId="1" xfId="0" applyNumberFormat="1" applyFont="1" applyFill="1" applyBorder="1" applyAlignment="1">
      <alignment horizontal="right" vertical="top" indent="2"/>
    </xf>
    <xf numFmtId="3" fontId="4" fillId="0" borderId="12" xfId="0" applyNumberFormat="1" applyFont="1" applyFill="1" applyBorder="1" applyAlignment="1">
      <alignment horizontal="right" vertical="top"/>
    </xf>
    <xf numFmtId="0" fontId="0" fillId="0" borderId="15" xfId="0" applyFont="1" applyFill="1" applyBorder="1" applyAlignment="1">
      <alignment vertical="top"/>
    </xf>
    <xf numFmtId="0" fontId="13" fillId="0" borderId="12" xfId="0" applyFont="1" applyFill="1" applyBorder="1"/>
    <xf numFmtId="0" fontId="13" fillId="0" borderId="1" xfId="0" applyFont="1" applyFill="1" applyBorder="1"/>
    <xf numFmtId="0" fontId="13" fillId="0" borderId="13" xfId="0" applyFont="1" applyFill="1" applyBorder="1"/>
    <xf numFmtId="9" fontId="13" fillId="0" borderId="7" xfId="1" applyFont="1" applyFill="1" applyBorder="1" applyAlignment="1">
      <alignment horizontal="left" vertical="top" wrapText="1"/>
    </xf>
    <xf numFmtId="0" fontId="13" fillId="0" borderId="0" xfId="0" applyFont="1"/>
    <xf numFmtId="0" fontId="5" fillId="0" borderId="0" xfId="3"/>
    <xf numFmtId="0" fontId="4" fillId="0" borderId="0" xfId="0"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2" xfId="0" applyFont="1" applyFill="1" applyBorder="1"/>
    <xf numFmtId="0" fontId="4" fillId="0" borderId="14" xfId="0" applyFont="1" applyFill="1" applyBorder="1"/>
    <xf numFmtId="0" fontId="4" fillId="0" borderId="12" xfId="0" applyFont="1" applyFill="1" applyBorder="1"/>
    <xf numFmtId="0" fontId="4" fillId="0" borderId="1" xfId="0" applyFont="1" applyFill="1" applyBorder="1" applyAlignment="1">
      <alignment horizontal="left"/>
    </xf>
    <xf numFmtId="0" fontId="4" fillId="0" borderId="13" xfId="0" applyFont="1" applyFill="1" applyBorder="1"/>
    <xf numFmtId="0" fontId="4" fillId="0" borderId="5" xfId="0" applyFont="1" applyFill="1" applyBorder="1" applyAlignment="1">
      <alignment vertical="top"/>
    </xf>
    <xf numFmtId="1" fontId="4" fillId="0" borderId="15" xfId="1" applyNumberFormat="1" applyFont="1" applyFill="1" applyBorder="1" applyAlignment="1">
      <alignment horizontal="left" vertical="top" wrapText="1"/>
    </xf>
    <xf numFmtId="165" fontId="4" fillId="0" borderId="5" xfId="1" quotePrefix="1" applyNumberFormat="1" applyFont="1" applyFill="1" applyBorder="1" applyAlignment="1">
      <alignment horizontal="center" vertical="top"/>
    </xf>
    <xf numFmtId="165" fontId="4" fillId="0" borderId="6" xfId="1" quotePrefix="1" applyNumberFormat="1" applyFont="1" applyFill="1" applyBorder="1" applyAlignment="1">
      <alignment horizontal="left" vertical="top" wrapText="1"/>
    </xf>
    <xf numFmtId="0" fontId="4" fillId="0" borderId="5" xfId="0" applyFont="1" applyFill="1" applyBorder="1" applyAlignment="1">
      <alignment vertical="top" wrapText="1"/>
    </xf>
    <xf numFmtId="165" fontId="4" fillId="0" borderId="6" xfId="1" quotePrefix="1" applyNumberFormat="1" applyFont="1" applyFill="1" applyBorder="1" applyAlignment="1">
      <alignment horizontal="center" vertical="top" wrapText="1"/>
    </xf>
    <xf numFmtId="0" fontId="4" fillId="0" borderId="2" xfId="0" applyFont="1" applyFill="1" applyBorder="1" applyAlignment="1">
      <alignment vertical="top"/>
    </xf>
    <xf numFmtId="1" fontId="4" fillId="0" borderId="10" xfId="1" applyNumberFormat="1" applyFont="1" applyFill="1" applyBorder="1" applyAlignment="1">
      <alignment horizontal="left" vertical="top" wrapText="1"/>
    </xf>
    <xf numFmtId="1" fontId="4" fillId="0" borderId="3" xfId="1" applyNumberFormat="1" applyFont="1" applyFill="1" applyBorder="1" applyAlignment="1">
      <alignment horizontal="left" vertical="top" wrapText="1"/>
    </xf>
    <xf numFmtId="1" fontId="4" fillId="0" borderId="2" xfId="1" applyNumberFormat="1" applyFont="1" applyFill="1" applyBorder="1" applyAlignment="1">
      <alignment horizontal="left" vertical="top" wrapText="1"/>
    </xf>
    <xf numFmtId="9" fontId="4" fillId="0" borderId="3" xfId="1" applyFont="1" applyFill="1" applyBorder="1" applyAlignment="1">
      <alignment horizontal="left" vertical="top" wrapText="1"/>
    </xf>
    <xf numFmtId="1" fontId="4" fillId="0" borderId="4" xfId="1" applyNumberFormat="1" applyFont="1" applyFill="1" applyBorder="1" applyAlignment="1">
      <alignment horizontal="left" vertical="top" wrapText="1"/>
    </xf>
    <xf numFmtId="0" fontId="4" fillId="0" borderId="12" xfId="0" applyFont="1" applyFill="1" applyBorder="1" applyAlignment="1">
      <alignment vertical="top"/>
    </xf>
    <xf numFmtId="1" fontId="4" fillId="0" borderId="14" xfId="1" applyNumberFormat="1" applyFont="1" applyFill="1" applyBorder="1" applyAlignment="1">
      <alignment horizontal="left" vertical="top" wrapText="1"/>
    </xf>
    <xf numFmtId="1" fontId="4" fillId="0" borderId="12" xfId="1" applyNumberFormat="1" applyFont="1" applyFill="1" applyBorder="1" applyAlignment="1">
      <alignment horizontal="left" vertical="top" wrapText="1"/>
    </xf>
    <xf numFmtId="0" fontId="4" fillId="0" borderId="10" xfId="0" applyFont="1" applyFill="1" applyBorder="1" applyAlignment="1">
      <alignment vertical="top" wrapText="1"/>
    </xf>
    <xf numFmtId="165" fontId="4" fillId="0" borderId="2" xfId="1" quotePrefix="1" applyNumberFormat="1" applyFont="1" applyFill="1" applyBorder="1" applyAlignment="1">
      <alignment horizontal="center" vertical="top"/>
    </xf>
    <xf numFmtId="165" fontId="4" fillId="0" borderId="3" xfId="1" quotePrefix="1" applyNumberFormat="1" applyFont="1" applyFill="1" applyBorder="1" applyAlignment="1">
      <alignment horizontal="center" vertical="top"/>
    </xf>
    <xf numFmtId="0" fontId="4" fillId="0" borderId="15" xfId="0" applyFont="1" applyFill="1" applyBorder="1" applyAlignment="1">
      <alignment vertical="top" wrapText="1"/>
    </xf>
    <xf numFmtId="0" fontId="4" fillId="0" borderId="2" xfId="0" applyFont="1" applyFill="1" applyBorder="1" applyAlignment="1">
      <alignment vertical="top" wrapText="1"/>
    </xf>
    <xf numFmtId="0" fontId="10" fillId="0" borderId="12" xfId="0" applyFont="1" applyFill="1" applyBorder="1" applyAlignment="1">
      <alignment vertical="top"/>
    </xf>
    <xf numFmtId="0" fontId="4" fillId="0" borderId="5" xfId="0" applyFont="1" applyFill="1" applyBorder="1" applyAlignment="1">
      <alignment horizontal="left" vertical="top"/>
    </xf>
    <xf numFmtId="1" fontId="3" fillId="0" borderId="15" xfId="1" applyNumberFormat="1" applyFont="1" applyFill="1" applyBorder="1" applyAlignment="1">
      <alignment horizontal="left" vertical="top" wrapText="1"/>
    </xf>
    <xf numFmtId="0" fontId="3" fillId="0" borderId="15" xfId="0" applyFont="1" applyFill="1" applyBorder="1" applyAlignment="1">
      <alignment horizontal="left" vertical="top" wrapText="1"/>
    </xf>
    <xf numFmtId="1" fontId="4" fillId="0" borderId="3" xfId="2" applyNumberFormat="1" applyFont="1" applyFill="1" applyBorder="1" applyAlignment="1">
      <alignment horizontal="left" vertical="top" wrapText="1"/>
    </xf>
    <xf numFmtId="1" fontId="4" fillId="0" borderId="2" xfId="2" applyNumberFormat="1" applyFont="1" applyFill="1" applyBorder="1" applyAlignment="1">
      <alignment horizontal="left" vertical="top" wrapText="1"/>
    </xf>
    <xf numFmtId="1" fontId="4" fillId="0" borderId="4" xfId="2" applyNumberFormat="1" applyFont="1" applyFill="1" applyBorder="1" applyAlignment="1">
      <alignment horizontal="left" vertical="top" wrapText="1"/>
    </xf>
    <xf numFmtId="1" fontId="4" fillId="0" borderId="13" xfId="2" applyNumberFormat="1" applyFont="1" applyFill="1" applyBorder="1" applyAlignment="1">
      <alignment horizontal="left" vertical="top" wrapText="1"/>
    </xf>
    <xf numFmtId="1" fontId="4" fillId="0" borderId="15" xfId="2" applyNumberFormat="1" applyFont="1" applyFill="1" applyBorder="1" applyAlignment="1">
      <alignment horizontal="left" vertical="top" wrapText="1"/>
    </xf>
    <xf numFmtId="165" fontId="4" fillId="0" borderId="5" xfId="2" quotePrefix="1" applyNumberFormat="1" applyFont="1" applyFill="1" applyBorder="1" applyAlignment="1">
      <alignment horizontal="center" vertical="top"/>
    </xf>
    <xf numFmtId="165" fontId="4" fillId="0" borderId="6" xfId="2" quotePrefix="1" applyNumberFormat="1" applyFont="1" applyFill="1" applyBorder="1" applyAlignment="1">
      <alignment horizontal="center" vertical="top"/>
    </xf>
    <xf numFmtId="1" fontId="4" fillId="0" borderId="10" xfId="2" applyNumberFormat="1" applyFont="1" applyFill="1" applyBorder="1" applyAlignment="1">
      <alignment horizontal="left" vertical="top" wrapText="1"/>
    </xf>
    <xf numFmtId="1" fontId="3" fillId="0" borderId="15" xfId="2" applyNumberFormat="1" applyFont="1" applyFill="1" applyBorder="1" applyAlignment="1">
      <alignment horizontal="left" vertical="top" wrapText="1"/>
    </xf>
    <xf numFmtId="165" fontId="4" fillId="0" borderId="6" xfId="2" quotePrefix="1" applyNumberFormat="1" applyFont="1" applyFill="1" applyBorder="1" applyAlignment="1">
      <alignment horizontal="left" vertical="top" wrapText="1"/>
    </xf>
    <xf numFmtId="1" fontId="4" fillId="0" borderId="5" xfId="2" applyNumberFormat="1" applyFont="1" applyFill="1" applyBorder="1" applyAlignment="1">
      <alignment vertical="top" wrapText="1"/>
    </xf>
    <xf numFmtId="0" fontId="13" fillId="0" borderId="5" xfId="0" applyFont="1" applyFill="1" applyBorder="1" applyAlignment="1">
      <alignment vertical="top"/>
    </xf>
    <xf numFmtId="164" fontId="3" fillId="0" borderId="15" xfId="2" applyNumberFormat="1" applyFont="1" applyFill="1" applyBorder="1" applyAlignment="1">
      <alignment horizontal="left" vertical="top" wrapText="1"/>
    </xf>
    <xf numFmtId="164" fontId="4" fillId="0" borderId="6" xfId="2" applyNumberFormat="1" applyFont="1" applyFill="1" applyBorder="1" applyAlignment="1">
      <alignment horizontal="left" vertical="top" wrapText="1"/>
    </xf>
    <xf numFmtId="164" fontId="4" fillId="0" borderId="5" xfId="2" applyNumberFormat="1" applyFont="1" applyFill="1" applyBorder="1" applyAlignment="1">
      <alignment horizontal="left" vertical="top" wrapText="1"/>
    </xf>
    <xf numFmtId="164" fontId="4" fillId="0" borderId="15" xfId="2" applyNumberFormat="1" applyFont="1" applyFill="1" applyBorder="1" applyAlignment="1">
      <alignment horizontal="left" vertical="top" wrapText="1"/>
    </xf>
    <xf numFmtId="164" fontId="4" fillId="0" borderId="7" xfId="2" applyNumberFormat="1" applyFont="1" applyFill="1" applyBorder="1" applyAlignment="1">
      <alignment horizontal="left" vertical="top"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quotePrefix="1" applyFont="1" applyFill="1" applyBorder="1"/>
    <xf numFmtId="0" fontId="0"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indent="1"/>
    </xf>
    <xf numFmtId="0" fontId="4" fillId="0" borderId="0" xfId="0" applyFont="1" applyFill="1" applyAlignment="1">
      <alignment horizontal="left"/>
    </xf>
    <xf numFmtId="0" fontId="0" fillId="0" borderId="0" xfId="0" applyFill="1" applyAlignment="1">
      <alignment horizontal="left"/>
    </xf>
    <xf numFmtId="0" fontId="4" fillId="0" borderId="0" xfId="5" applyFont="1" applyFill="1"/>
    <xf numFmtId="0" fontId="4" fillId="0" borderId="0" xfId="5" applyFont="1" applyFill="1" applyBorder="1"/>
    <xf numFmtId="0" fontId="4" fillId="0" borderId="0" xfId="5" applyFont="1" applyFill="1" applyAlignment="1">
      <alignment horizontal="center" vertical="center"/>
    </xf>
    <xf numFmtId="0" fontId="4" fillId="0" borderId="14" xfId="5" applyFont="1" applyFill="1" applyBorder="1" applyAlignment="1">
      <alignment horizontal="center" vertical="center"/>
    </xf>
    <xf numFmtId="0" fontId="4" fillId="0" borderId="0" xfId="5" applyFont="1" applyFill="1" applyBorder="1" applyAlignment="1">
      <alignment horizontal="center" vertical="center" textRotation="90" wrapText="1"/>
    </xf>
    <xf numFmtId="0" fontId="4" fillId="0" borderId="9" xfId="5" applyFont="1" applyFill="1" applyBorder="1" applyAlignment="1">
      <alignment horizontal="center" vertical="center" textRotation="90" wrapText="1"/>
    </xf>
    <xf numFmtId="0" fontId="10" fillId="0" borderId="0" xfId="5" applyFont="1" applyFill="1" applyAlignment="1">
      <alignment horizontal="left" vertical="center"/>
    </xf>
    <xf numFmtId="0" fontId="10" fillId="0" borderId="11" xfId="5" applyFont="1" applyFill="1" applyBorder="1" applyAlignment="1">
      <alignment horizontal="left" vertical="center"/>
    </xf>
    <xf numFmtId="0" fontId="4" fillId="0" borderId="8" xfId="5" applyFont="1" applyFill="1" applyBorder="1" applyAlignment="1">
      <alignment horizontal="center" vertical="center"/>
    </xf>
    <xf numFmtId="0" fontId="4" fillId="0" borderId="0"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11" xfId="5" applyFont="1" applyFill="1" applyBorder="1"/>
    <xf numFmtId="0" fontId="4" fillId="0" borderId="11" xfId="5" applyFont="1" applyFill="1" applyBorder="1" applyAlignment="1">
      <alignment horizontal="center" vertical="center"/>
    </xf>
    <xf numFmtId="0" fontId="4" fillId="0" borderId="5" xfId="5" applyFont="1" applyFill="1" applyBorder="1" applyAlignment="1">
      <alignment vertical="top"/>
    </xf>
    <xf numFmtId="0" fontId="4" fillId="0" borderId="15" xfId="5" applyFont="1" applyFill="1" applyBorder="1" applyAlignment="1">
      <alignment horizontal="left" vertical="top" wrapText="1"/>
    </xf>
    <xf numFmtId="10" fontId="4" fillId="0" borderId="5" xfId="5" applyNumberFormat="1" applyFont="1" applyFill="1" applyBorder="1" applyAlignment="1">
      <alignment horizontal="center" vertical="top"/>
    </xf>
    <xf numFmtId="10" fontId="4" fillId="0" borderId="6" xfId="5" applyNumberFormat="1" applyFont="1" applyFill="1" applyBorder="1" applyAlignment="1">
      <alignment horizontal="center" vertical="top"/>
    </xf>
    <xf numFmtId="10" fontId="4" fillId="0" borderId="7" xfId="5" applyNumberFormat="1" applyFont="1" applyFill="1" applyBorder="1" applyAlignment="1">
      <alignment horizontal="center" vertical="top"/>
    </xf>
    <xf numFmtId="10" fontId="4" fillId="0" borderId="5" xfId="5" applyNumberFormat="1" applyFont="1" applyFill="1" applyBorder="1" applyAlignment="1">
      <alignment horizontal="left" vertical="top" wrapText="1"/>
    </xf>
    <xf numFmtId="165" fontId="4" fillId="0" borderId="15" xfId="1" applyNumberFormat="1" applyFont="1" applyFill="1" applyBorder="1" applyAlignment="1">
      <alignment horizontal="center" vertical="top" wrapText="1"/>
    </xf>
    <xf numFmtId="10" fontId="4" fillId="0" borderId="15" xfId="5" applyNumberFormat="1" applyFont="1" applyFill="1" applyBorder="1" applyAlignment="1">
      <alignment horizontal="left" vertical="top" wrapText="1"/>
    </xf>
    <xf numFmtId="0" fontId="4" fillId="0" borderId="5" xfId="5" applyFont="1" applyFill="1" applyBorder="1" applyAlignment="1">
      <alignment vertical="top" wrapText="1"/>
    </xf>
    <xf numFmtId="0" fontId="4" fillId="0" borderId="5" xfId="5" quotePrefix="1" applyFont="1" applyFill="1" applyBorder="1" applyAlignment="1">
      <alignment horizontal="center" vertical="top"/>
    </xf>
    <xf numFmtId="0" fontId="4" fillId="0" borderId="6" xfId="5" quotePrefix="1" applyFont="1" applyFill="1" applyBorder="1" applyAlignment="1">
      <alignment horizontal="center" vertical="top"/>
    </xf>
    <xf numFmtId="0" fontId="4" fillId="0" borderId="7" xfId="5" quotePrefix="1" applyFont="1" applyFill="1" applyBorder="1" applyAlignment="1">
      <alignment horizontal="center" vertical="top"/>
    </xf>
    <xf numFmtId="0" fontId="4" fillId="0" borderId="5" xfId="5" applyFont="1" applyFill="1" applyBorder="1" applyAlignment="1">
      <alignment horizontal="left" vertical="top" wrapText="1"/>
    </xf>
    <xf numFmtId="166" fontId="4" fillId="0" borderId="15" xfId="5" quotePrefix="1" applyNumberFormat="1" applyFont="1" applyFill="1" applyBorder="1" applyAlignment="1">
      <alignment horizontal="center" vertical="top"/>
    </xf>
    <xf numFmtId="9" fontId="4" fillId="0" borderId="15" xfId="1" applyFont="1" applyFill="1" applyBorder="1" applyAlignment="1">
      <alignment horizontal="center" vertical="top" wrapText="1"/>
    </xf>
    <xf numFmtId="0" fontId="10" fillId="0" borderId="12" xfId="5" applyFont="1" applyFill="1" applyBorder="1" applyAlignment="1"/>
    <xf numFmtId="0" fontId="4" fillId="0" borderId="12" xfId="5" applyFont="1" applyFill="1" applyBorder="1" applyAlignment="1">
      <alignment vertical="top"/>
    </xf>
    <xf numFmtId="0" fontId="4" fillId="0" borderId="12" xfId="5" applyFont="1" applyFill="1" applyBorder="1" applyAlignment="1">
      <alignment horizontal="left" vertical="top"/>
    </xf>
    <xf numFmtId="0" fontId="4" fillId="0" borderId="5" xfId="5" applyFont="1" applyFill="1" applyBorder="1" applyAlignment="1">
      <alignment horizontal="left" vertical="top"/>
    </xf>
    <xf numFmtId="0" fontId="3" fillId="0" borderId="15" xfId="5" applyFont="1" applyFill="1" applyBorder="1" applyAlignment="1">
      <alignment horizontal="left" vertical="top" wrapText="1"/>
    </xf>
    <xf numFmtId="0" fontId="4" fillId="0" borderId="10" xfId="5" applyFont="1" applyFill="1" applyBorder="1" applyAlignment="1">
      <alignment horizontal="left" vertical="top" wrapText="1"/>
    </xf>
    <xf numFmtId="10" fontId="4" fillId="0" borderId="2" xfId="5" applyNumberFormat="1" applyFont="1" applyFill="1" applyBorder="1" applyAlignment="1">
      <alignment horizontal="left" vertical="top"/>
    </xf>
    <xf numFmtId="10" fontId="4" fillId="0" borderId="3" xfId="5" applyNumberFormat="1" applyFont="1" applyFill="1" applyBorder="1" applyAlignment="1">
      <alignment horizontal="center" vertical="top"/>
    </xf>
    <xf numFmtId="10" fontId="4" fillId="0" borderId="4" xfId="5" applyNumberFormat="1" applyFont="1" applyFill="1" applyBorder="1" applyAlignment="1">
      <alignment horizontal="center" vertical="top"/>
    </xf>
    <xf numFmtId="10" fontId="4" fillId="0" borderId="2" xfId="5" applyNumberFormat="1" applyFont="1" applyFill="1" applyBorder="1" applyAlignment="1">
      <alignment horizontal="left" vertical="top" wrapText="1"/>
    </xf>
    <xf numFmtId="9" fontId="4" fillId="0" borderId="10" xfId="1" applyFont="1" applyFill="1" applyBorder="1" applyAlignment="1">
      <alignment horizontal="center" vertical="top" wrapText="1"/>
    </xf>
    <xf numFmtId="10" fontId="4" fillId="0" borderId="10" xfId="5" applyNumberFormat="1" applyFont="1" applyFill="1" applyBorder="1" applyAlignment="1">
      <alignment horizontal="left" vertical="top" wrapText="1"/>
    </xf>
    <xf numFmtId="0" fontId="8" fillId="0" borderId="0" xfId="0" applyFont="1" applyFill="1"/>
    <xf numFmtId="0" fontId="8" fillId="0" borderId="15" xfId="2" applyFont="1" applyFill="1" applyBorder="1" applyAlignment="1">
      <alignment horizontal="left" vertical="top" wrapText="1"/>
    </xf>
    <xf numFmtId="10" fontId="8" fillId="0" borderId="5" xfId="2" applyNumberFormat="1" applyFont="1" applyFill="1" applyBorder="1" applyAlignment="1">
      <alignment horizontal="left" vertical="top" wrapText="1"/>
    </xf>
    <xf numFmtId="0" fontId="8" fillId="0" borderId="17" xfId="2" applyFont="1" applyFill="1" applyBorder="1" applyAlignment="1">
      <alignment horizontal="left" vertical="top" wrapText="1"/>
    </xf>
    <xf numFmtId="0" fontId="16" fillId="0" borderId="15" xfId="2" applyFont="1" applyFill="1" applyBorder="1" applyAlignment="1">
      <alignment horizontal="left" vertical="top" wrapText="1"/>
    </xf>
    <xf numFmtId="0" fontId="4" fillId="0" borderId="0" xfId="0" applyFont="1" applyFill="1" applyAlignment="1">
      <alignment horizontal="center"/>
    </xf>
    <xf numFmtId="0" fontId="4" fillId="0" borderId="7" xfId="0" applyFont="1" applyFill="1" applyBorder="1" applyAlignment="1">
      <alignment vertical="center"/>
    </xf>
    <xf numFmtId="0" fontId="10" fillId="0" borderId="14" xfId="0" applyFont="1" applyFill="1" applyBorder="1"/>
    <xf numFmtId="0" fontId="4" fillId="0" borderId="8" xfId="0" applyFont="1" applyFill="1" applyBorder="1" applyAlignment="1">
      <alignment vertical="top"/>
    </xf>
    <xf numFmtId="9" fontId="4" fillId="0" borderId="8" xfId="1" applyNumberFormat="1" applyFont="1" applyFill="1" applyBorder="1" applyAlignment="1">
      <alignment horizontal="center" vertical="top" wrapText="1"/>
    </xf>
    <xf numFmtId="0" fontId="10" fillId="0" borderId="1" xfId="0" applyFont="1" applyFill="1" applyBorder="1" applyAlignment="1"/>
    <xf numFmtId="0" fontId="10" fillId="0" borderId="0" xfId="0" applyFont="1" applyFill="1" applyBorder="1" applyAlignment="1">
      <alignment horizontal="left" vertical="top"/>
    </xf>
    <xf numFmtId="0" fontId="10" fillId="0" borderId="11" xfId="0" applyFont="1" applyFill="1" applyBorder="1" applyAlignment="1">
      <alignment horizontal="left" vertical="top"/>
    </xf>
    <xf numFmtId="0" fontId="4" fillId="0" borderId="10" xfId="0" applyFont="1" applyFill="1" applyBorder="1"/>
    <xf numFmtId="1" fontId="3" fillId="0" borderId="10" xfId="1" applyNumberFormat="1" applyFont="1" applyFill="1" applyBorder="1" applyAlignment="1">
      <alignment horizontal="left" vertical="top" wrapText="1"/>
    </xf>
    <xf numFmtId="1" fontId="3" fillId="0" borderId="14" xfId="1" applyNumberFormat="1" applyFont="1" applyFill="1" applyBorder="1" applyAlignment="1">
      <alignment horizontal="left" vertical="top" wrapText="1"/>
    </xf>
    <xf numFmtId="0" fontId="4" fillId="0" borderId="4" xfId="1" applyNumberFormat="1" applyFont="1" applyFill="1" applyBorder="1" applyAlignment="1">
      <alignment horizontal="center" vertical="top" wrapText="1"/>
    </xf>
    <xf numFmtId="9" fontId="4" fillId="0" borderId="4" xfId="1" applyFont="1" applyFill="1" applyBorder="1" applyAlignment="1">
      <alignment horizontal="center" vertical="top" wrapText="1"/>
    </xf>
    <xf numFmtId="9" fontId="4" fillId="0" borderId="4" xfId="1" applyFont="1" applyFill="1" applyBorder="1" applyAlignment="1">
      <alignment horizontal="left" vertical="top" wrapText="1"/>
    </xf>
    <xf numFmtId="0" fontId="13" fillId="0" borderId="0" xfId="0" applyFont="1" applyFill="1"/>
    <xf numFmtId="0" fontId="13" fillId="0" borderId="0" xfId="0" applyFont="1" applyFill="1" applyBorder="1"/>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xf numFmtId="1" fontId="4" fillId="0" borderId="3" xfId="1" applyNumberFormat="1" applyFont="1" applyFill="1" applyBorder="1" applyAlignment="1">
      <alignment horizontal="center" vertical="top" wrapText="1"/>
    </xf>
    <xf numFmtId="165" fontId="4" fillId="0" borderId="2" xfId="1" applyNumberFormat="1" applyFont="1" applyFill="1" applyBorder="1" applyAlignment="1">
      <alignment horizontal="center" vertical="top" wrapText="1"/>
    </xf>
    <xf numFmtId="9" fontId="4" fillId="0" borderId="2" xfId="2" applyNumberFormat="1" applyFont="1" applyFill="1" applyBorder="1" applyAlignment="1">
      <alignment horizontal="center" vertical="top" wrapText="1"/>
    </xf>
    <xf numFmtId="9" fontId="4" fillId="0" borderId="4" xfId="2" applyNumberFormat="1" applyFont="1" applyFill="1" applyBorder="1" applyAlignment="1">
      <alignment horizontal="center" vertical="top" wrapText="1"/>
    </xf>
    <xf numFmtId="9" fontId="4" fillId="0" borderId="8" xfId="2" applyNumberFormat="1" applyFont="1" applyFill="1" applyBorder="1" applyAlignment="1">
      <alignment horizontal="center" vertical="top" wrapText="1"/>
    </xf>
    <xf numFmtId="9" fontId="4" fillId="0" borderId="9" xfId="2" applyNumberFormat="1" applyFont="1" applyFill="1" applyBorder="1" applyAlignment="1">
      <alignment horizontal="center" vertical="top" wrapText="1"/>
    </xf>
    <xf numFmtId="1" fontId="4" fillId="0" borderId="1" xfId="1" applyNumberFormat="1" applyFont="1" applyFill="1" applyBorder="1" applyAlignment="1">
      <alignment horizontal="center" vertical="top" wrapText="1"/>
    </xf>
    <xf numFmtId="165" fontId="4" fillId="0" borderId="12" xfId="1" applyNumberFormat="1" applyFont="1" applyFill="1" applyBorder="1" applyAlignment="1">
      <alignment horizontal="center" vertical="top" wrapText="1"/>
    </xf>
    <xf numFmtId="9" fontId="4" fillId="0" borderId="12" xfId="2" applyNumberFormat="1" applyFont="1" applyFill="1" applyBorder="1" applyAlignment="1">
      <alignment horizontal="center" vertical="top" wrapText="1"/>
    </xf>
    <xf numFmtId="9" fontId="4" fillId="0" borderId="13" xfId="2" applyNumberFormat="1" applyFont="1" applyFill="1" applyBorder="1" applyAlignment="1">
      <alignment horizontal="center" vertical="top" wrapText="1"/>
    </xf>
    <xf numFmtId="0" fontId="4" fillId="0" borderId="4" xfId="2" quotePrefix="1" applyNumberFormat="1" applyFont="1" applyFill="1" applyBorder="1" applyAlignment="1">
      <alignment horizontal="center" vertical="top" wrapText="1"/>
    </xf>
    <xf numFmtId="10" fontId="4" fillId="0" borderId="8" xfId="1" applyNumberFormat="1" applyFont="1" applyFill="1" applyBorder="1" applyAlignment="1">
      <alignment horizontal="center" vertical="top" wrapText="1"/>
    </xf>
    <xf numFmtId="1" fontId="4" fillId="0" borderId="14" xfId="2" applyNumberFormat="1" applyFont="1" applyFill="1" applyBorder="1" applyAlignment="1">
      <alignment horizontal="left" vertical="top" wrapText="1"/>
    </xf>
    <xf numFmtId="0" fontId="4" fillId="0" borderId="13" xfId="1" applyNumberFormat="1" applyFont="1" applyFill="1" applyBorder="1" applyAlignment="1">
      <alignment horizontal="center" vertical="top" wrapText="1"/>
    </xf>
    <xf numFmtId="1" fontId="4" fillId="0" borderId="6" xfId="1" applyNumberFormat="1" applyFont="1" applyFill="1" applyBorder="1" applyAlignment="1">
      <alignment horizontal="center" vertical="top" wrapText="1"/>
    </xf>
    <xf numFmtId="0" fontId="4" fillId="0" borderId="7" xfId="1" applyNumberFormat="1" applyFont="1" applyFill="1" applyBorder="1" applyAlignment="1">
      <alignment horizontal="center" vertical="top" wrapText="1"/>
    </xf>
    <xf numFmtId="0" fontId="4" fillId="0" borderId="9" xfId="2" quotePrefix="1" applyNumberFormat="1" applyFont="1" applyFill="1" applyBorder="1" applyAlignment="1">
      <alignment horizontal="center" vertical="top" wrapText="1"/>
    </xf>
    <xf numFmtId="10" fontId="4" fillId="0" borderId="12" xfId="1" applyNumberFormat="1" applyFont="1" applyFill="1" applyBorder="1" applyAlignment="1">
      <alignment horizontal="center" vertical="top" wrapText="1"/>
    </xf>
    <xf numFmtId="10" fontId="4" fillId="0" borderId="2" xfId="1" applyNumberFormat="1" applyFont="1" applyFill="1" applyBorder="1" applyAlignment="1">
      <alignment horizontal="center" vertical="top" wrapText="1"/>
    </xf>
    <xf numFmtId="1" fontId="4" fillId="0" borderId="11" xfId="2" applyNumberFormat="1" applyFont="1" applyFill="1" applyBorder="1" applyAlignment="1">
      <alignment horizontal="left" vertical="top" wrapText="1"/>
    </xf>
    <xf numFmtId="9" fontId="4" fillId="0" borderId="4" xfId="2" applyNumberFormat="1" applyFont="1" applyFill="1" applyBorder="1" applyAlignment="1">
      <alignment horizontal="left" vertical="top" wrapText="1"/>
    </xf>
    <xf numFmtId="10" fontId="4" fillId="0" borderId="9" xfId="1" applyNumberFormat="1" applyFont="1" applyFill="1" applyBorder="1" applyAlignment="1">
      <alignment horizontal="center" vertical="top" wrapText="1"/>
    </xf>
    <xf numFmtId="1" fontId="4" fillId="0" borderId="0" xfId="2" applyNumberFormat="1" applyFont="1" applyFill="1" applyBorder="1" applyAlignment="1">
      <alignment horizontal="center" vertical="top" wrapText="1"/>
    </xf>
    <xf numFmtId="1" fontId="4" fillId="0" borderId="1" xfId="2" applyNumberFormat="1" applyFont="1" applyFill="1" applyBorder="1" applyAlignment="1">
      <alignment horizontal="center" vertical="top" wrapText="1"/>
    </xf>
    <xf numFmtId="165" fontId="4" fillId="0" borderId="12" xfId="2" applyNumberFormat="1" applyFont="1" applyFill="1" applyBorder="1" applyAlignment="1">
      <alignment horizontal="center" vertical="top" wrapText="1"/>
    </xf>
    <xf numFmtId="0" fontId="4" fillId="0" borderId="13" xfId="2" quotePrefix="1" applyNumberFormat="1" applyFont="1" applyFill="1" applyBorder="1" applyAlignment="1">
      <alignment horizontal="center" vertical="top" wrapText="1"/>
    </xf>
    <xf numFmtId="0" fontId="4" fillId="0" borderId="8" xfId="0" applyFont="1" applyFill="1" applyBorder="1" applyAlignment="1">
      <alignment vertical="top" wrapText="1"/>
    </xf>
    <xf numFmtId="0" fontId="4" fillId="0" borderId="2" xfId="2" applyFont="1" applyFill="1" applyBorder="1" applyAlignment="1">
      <alignment vertical="top"/>
    </xf>
    <xf numFmtId="1" fontId="4" fillId="0" borderId="3" xfId="2" applyNumberFormat="1" applyFont="1" applyFill="1" applyBorder="1" applyAlignment="1">
      <alignment horizontal="center" vertical="top" wrapText="1"/>
    </xf>
    <xf numFmtId="165" fontId="4" fillId="0" borderId="2" xfId="2" applyNumberFormat="1" applyFont="1" applyFill="1" applyBorder="1" applyAlignment="1">
      <alignment horizontal="center" vertical="top" wrapText="1"/>
    </xf>
    <xf numFmtId="0" fontId="4" fillId="0" borderId="4" xfId="2" applyNumberFormat="1" applyFont="1" applyFill="1" applyBorder="1" applyAlignment="1">
      <alignment horizontal="center" vertical="top" wrapText="1"/>
    </xf>
    <xf numFmtId="0" fontId="4" fillId="0" borderId="8" xfId="2" applyFont="1" applyFill="1" applyBorder="1" applyAlignment="1">
      <alignment vertical="top"/>
    </xf>
    <xf numFmtId="0" fontId="4" fillId="0" borderId="9" xfId="2" applyNumberFormat="1" applyFont="1" applyFill="1" applyBorder="1" applyAlignment="1">
      <alignment horizontal="center" vertical="top" wrapText="1"/>
    </xf>
    <xf numFmtId="0" fontId="4" fillId="0" borderId="12" xfId="2" applyFont="1" applyFill="1" applyBorder="1" applyAlignment="1">
      <alignment vertical="top"/>
    </xf>
    <xf numFmtId="0" fontId="4" fillId="0" borderId="13" xfId="2" applyNumberFormat="1" applyFont="1" applyFill="1" applyBorder="1" applyAlignment="1">
      <alignment horizontal="center" vertical="top" wrapText="1"/>
    </xf>
    <xf numFmtId="0" fontId="4" fillId="0" borderId="2" xfId="2" applyFont="1" applyFill="1" applyBorder="1" applyAlignment="1">
      <alignment vertical="top" wrapText="1"/>
    </xf>
    <xf numFmtId="0" fontId="4" fillId="0" borderId="0" xfId="0" applyFont="1" applyFill="1" applyBorder="1" applyAlignment="1">
      <alignment vertical="top"/>
    </xf>
    <xf numFmtId="0" fontId="4" fillId="0" borderId="9" xfId="0" applyFont="1" applyFill="1" applyBorder="1" applyAlignment="1">
      <alignment horizontal="left" vertical="top"/>
    </xf>
    <xf numFmtId="10" fontId="4" fillId="0" borderId="8" xfId="0" applyNumberFormat="1" applyFont="1" applyFill="1" applyBorder="1" applyAlignment="1">
      <alignment horizontal="right" vertical="top"/>
    </xf>
    <xf numFmtId="0" fontId="4" fillId="0" borderId="9" xfId="0" applyFont="1" applyFill="1" applyBorder="1" applyAlignment="1">
      <alignment vertical="top"/>
    </xf>
    <xf numFmtId="0" fontId="4" fillId="0" borderId="11" xfId="2" applyFont="1" applyFill="1" applyBorder="1" applyAlignment="1">
      <alignment horizontal="left" vertical="center" wrapText="1"/>
    </xf>
    <xf numFmtId="1" fontId="4" fillId="0" borderId="9" xfId="2" applyNumberFormat="1" applyFont="1" applyFill="1" applyBorder="1" applyAlignment="1">
      <alignment horizontal="center" vertical="top" wrapText="1"/>
    </xf>
    <xf numFmtId="0" fontId="4" fillId="0" borderId="14" xfId="2" applyFont="1" applyFill="1" applyBorder="1" applyAlignment="1">
      <alignment horizontal="left" vertical="center" wrapText="1"/>
    </xf>
    <xf numFmtId="1" fontId="4" fillId="0" borderId="13" xfId="2" applyNumberFormat="1" applyFont="1" applyFill="1" applyBorder="1" applyAlignment="1">
      <alignment horizontal="center" vertical="top" wrapText="1"/>
    </xf>
    <xf numFmtId="1" fontId="4" fillId="0" borderId="12" xfId="2" applyNumberFormat="1" applyFont="1" applyFill="1" applyBorder="1" applyAlignment="1">
      <alignment horizontal="center" vertical="top" wrapText="1"/>
    </xf>
    <xf numFmtId="0" fontId="4" fillId="0" borderId="10" xfId="0" applyFont="1" applyFill="1" applyBorder="1" applyAlignment="1">
      <alignment horizontal="left" vertical="top"/>
    </xf>
    <xf numFmtId="0" fontId="4" fillId="0" borderId="14" xfId="0" applyFont="1" applyFill="1" applyBorder="1" applyAlignment="1">
      <alignment horizontal="left" vertical="center" wrapText="1"/>
    </xf>
    <xf numFmtId="0" fontId="4" fillId="0" borderId="11" xfId="2" applyFont="1" applyFill="1" applyBorder="1"/>
    <xf numFmtId="1" fontId="4" fillId="0" borderId="9" xfId="2" quotePrefix="1" applyNumberFormat="1" applyFont="1" applyFill="1" applyBorder="1" applyAlignment="1">
      <alignment horizontal="center" vertical="top" wrapText="1"/>
    </xf>
    <xf numFmtId="1" fontId="4" fillId="0" borderId="8" xfId="2" applyNumberFormat="1" applyFont="1" applyFill="1" applyBorder="1" applyAlignment="1">
      <alignment horizontal="center" vertical="top" wrapText="1"/>
    </xf>
    <xf numFmtId="0" fontId="4" fillId="0" borderId="14" xfId="2" applyFont="1" applyFill="1" applyBorder="1"/>
    <xf numFmtId="0" fontId="4" fillId="0" borderId="10" xfId="2" applyFont="1" applyFill="1" applyBorder="1" applyAlignment="1">
      <alignment vertical="top"/>
    </xf>
    <xf numFmtId="0" fontId="4" fillId="0" borderId="11" xfId="2" applyFont="1" applyFill="1" applyBorder="1" applyAlignment="1">
      <alignment vertical="top"/>
    </xf>
    <xf numFmtId="0" fontId="4" fillId="0" borderId="14" xfId="2" applyFont="1" applyFill="1" applyBorder="1" applyAlignment="1">
      <alignment vertical="top"/>
    </xf>
    <xf numFmtId="0" fontId="4" fillId="0" borderId="0"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10" fillId="0" borderId="0" xfId="5" applyFont="1" applyFill="1" applyBorder="1" applyAlignment="1">
      <alignment horizontal="left" vertical="center"/>
    </xf>
    <xf numFmtId="0" fontId="4" fillId="0" borderId="6" xfId="5" applyFont="1" applyFill="1" applyBorder="1" applyAlignment="1">
      <alignment horizontal="left" vertical="top" wrapText="1"/>
    </xf>
    <xf numFmtId="9" fontId="4" fillId="0" borderId="7" xfId="1" applyNumberFormat="1" applyFont="1" applyFill="1" applyBorder="1" applyAlignment="1">
      <alignment horizontal="left" vertical="top" wrapText="1"/>
    </xf>
    <xf numFmtId="0" fontId="4" fillId="0" borderId="2" xfId="5" applyFont="1" applyFill="1" applyBorder="1" applyAlignment="1">
      <alignment horizontal="left" vertical="top"/>
    </xf>
    <xf numFmtId="0" fontId="4" fillId="0" borderId="2" xfId="5" applyFont="1" applyFill="1" applyBorder="1" applyAlignment="1">
      <alignment horizontal="left" vertical="top" wrapText="1"/>
    </xf>
    <xf numFmtId="0" fontId="4" fillId="0" borderId="3" xfId="5" applyFont="1" applyFill="1" applyBorder="1" applyAlignment="1">
      <alignment horizontal="left" vertical="top" wrapText="1"/>
    </xf>
    <xf numFmtId="9" fontId="4" fillId="0" borderId="3" xfId="1" applyNumberFormat="1" applyFont="1" applyFill="1" applyBorder="1" applyAlignment="1">
      <alignment horizontal="left" vertical="top" wrapText="1"/>
    </xf>
    <xf numFmtId="0" fontId="4" fillId="0" borderId="12" xfId="5" applyFont="1" applyFill="1" applyBorder="1" applyAlignment="1">
      <alignment horizontal="left" vertical="top" wrapText="1"/>
    </xf>
    <xf numFmtId="0" fontId="4" fillId="0" borderId="1" xfId="5" applyFont="1" applyFill="1" applyBorder="1" applyAlignment="1">
      <alignment horizontal="left" vertical="top" wrapText="1"/>
    </xf>
    <xf numFmtId="0" fontId="4" fillId="0" borderId="8" xfId="5" applyFont="1" applyFill="1" applyBorder="1"/>
    <xf numFmtId="0" fontId="4" fillId="0" borderId="8" xfId="5" applyFont="1" applyFill="1" applyBorder="1" applyAlignment="1">
      <alignment horizontal="left" vertical="top" wrapText="1"/>
    </xf>
    <xf numFmtId="0" fontId="4" fillId="0" borderId="0" xfId="5" applyFont="1" applyFill="1" applyBorder="1" applyAlignment="1">
      <alignment horizontal="left" vertical="top" wrapText="1"/>
    </xf>
    <xf numFmtId="9" fontId="4" fillId="0" borderId="0" xfId="1" applyNumberFormat="1" applyFont="1" applyFill="1" applyBorder="1" applyAlignment="1">
      <alignment horizontal="left" vertical="top" wrapText="1"/>
    </xf>
    <xf numFmtId="9" fontId="4" fillId="0" borderId="9" xfId="1" applyNumberFormat="1" applyFont="1" applyFill="1" applyBorder="1" applyAlignment="1">
      <alignment horizontal="left" vertical="top" wrapText="1"/>
    </xf>
    <xf numFmtId="9" fontId="4" fillId="0" borderId="1" xfId="1" applyNumberFormat="1" applyFont="1" applyFill="1" applyBorder="1" applyAlignment="1">
      <alignment horizontal="left" vertical="top" wrapText="1"/>
    </xf>
    <xf numFmtId="9" fontId="4" fillId="0" borderId="13" xfId="1" applyNumberFormat="1" applyFont="1" applyFill="1" applyBorder="1" applyAlignment="1">
      <alignment horizontal="left" vertical="top" wrapText="1"/>
    </xf>
    <xf numFmtId="0" fontId="4" fillId="0" borderId="2" xfId="5" applyFont="1" applyFill="1" applyBorder="1" applyAlignment="1">
      <alignment vertical="top"/>
    </xf>
    <xf numFmtId="0" fontId="4" fillId="0" borderId="11" xfId="5" applyFont="1" applyFill="1" applyBorder="1" applyAlignment="1">
      <alignment vertical="top"/>
    </xf>
    <xf numFmtId="0" fontId="4" fillId="0" borderId="9" xfId="5" applyFont="1" applyFill="1" applyBorder="1" applyAlignment="1">
      <alignment horizontal="left" vertical="top" wrapText="1"/>
    </xf>
    <xf numFmtId="0" fontId="4" fillId="0" borderId="0" xfId="5" applyNumberFormat="1" applyFont="1" applyFill="1" applyBorder="1"/>
    <xf numFmtId="0" fontId="4" fillId="0" borderId="8" xfId="5" applyFont="1" applyFill="1" applyBorder="1" applyAlignment="1">
      <alignment horizontal="left" vertical="top"/>
    </xf>
    <xf numFmtId="1" fontId="4" fillId="0" borderId="0" xfId="5" quotePrefix="1" applyNumberFormat="1" applyFont="1" applyFill="1" applyBorder="1" applyAlignment="1">
      <alignment horizontal="left" vertical="top" wrapText="1"/>
    </xf>
    <xf numFmtId="9" fontId="4" fillId="0" borderId="4" xfId="1" applyNumberFormat="1" applyFont="1" applyFill="1" applyBorder="1" applyAlignment="1">
      <alignment horizontal="left" vertical="top" wrapText="1"/>
    </xf>
    <xf numFmtId="0" fontId="10" fillId="0" borderId="12" xfId="5" applyFont="1" applyFill="1" applyBorder="1" applyAlignment="1">
      <alignment horizontal="left" vertical="top" wrapText="1"/>
    </xf>
    <xf numFmtId="0" fontId="4" fillId="0" borderId="12" xfId="5" applyFont="1" applyFill="1" applyBorder="1" applyAlignment="1">
      <alignment horizontal="left" vertical="top" wrapText="1" indent="1"/>
    </xf>
    <xf numFmtId="0" fontId="4" fillId="0" borderId="1" xfId="5" applyFont="1" applyFill="1" applyBorder="1" applyAlignment="1">
      <alignment horizontal="left" vertical="top" wrapText="1" indent="1"/>
    </xf>
    <xf numFmtId="0" fontId="4" fillId="0" borderId="13" xfId="5" applyFont="1" applyFill="1" applyBorder="1" applyAlignment="1">
      <alignment horizontal="left" vertical="top" wrapText="1" indent="1"/>
    </xf>
    <xf numFmtId="0" fontId="3" fillId="0" borderId="0" xfId="5" applyFont="1" applyFill="1"/>
    <xf numFmtId="0" fontId="4" fillId="0" borderId="0" xfId="5" applyFont="1" applyFill="1" applyBorder="1" applyAlignment="1">
      <alignment horizontal="left" vertical="top" wrapText="1" indent="1"/>
    </xf>
    <xf numFmtId="0" fontId="3" fillId="0" borderId="8" xfId="5" applyFont="1" applyFill="1" applyBorder="1" applyAlignment="1">
      <alignment horizontal="left" vertical="top" wrapText="1"/>
    </xf>
    <xf numFmtId="9" fontId="4" fillId="0" borderId="13" xfId="1" quotePrefix="1" applyFont="1" applyFill="1" applyBorder="1" applyAlignment="1">
      <alignment horizontal="left" vertical="top" wrapText="1"/>
    </xf>
    <xf numFmtId="9" fontId="4" fillId="0" borderId="4" xfId="1" quotePrefix="1" applyFont="1" applyFill="1" applyBorder="1" applyAlignment="1">
      <alignment horizontal="left" vertical="top" wrapText="1"/>
    </xf>
    <xf numFmtId="9" fontId="4" fillId="0" borderId="6" xfId="5" applyNumberFormat="1" applyFont="1" applyFill="1" applyBorder="1" applyAlignment="1">
      <alignment horizontal="left" vertical="top" wrapText="1"/>
    </xf>
    <xf numFmtId="10" fontId="4" fillId="0" borderId="0" xfId="5" applyNumberFormat="1" applyFont="1" applyFill="1" applyBorder="1" applyAlignment="1">
      <alignment horizontal="left" vertical="top" wrapText="1"/>
    </xf>
    <xf numFmtId="0" fontId="4" fillId="0" borderId="1" xfId="5" quotePrefix="1" applyFont="1" applyFill="1" applyBorder="1" applyAlignment="1">
      <alignment horizontal="left" vertical="top" wrapText="1"/>
    </xf>
    <xf numFmtId="9" fontId="4" fillId="0" borderId="1" xfId="5" applyNumberFormat="1" applyFont="1" applyFill="1" applyBorder="1" applyAlignment="1">
      <alignment horizontal="left" vertical="top" wrapText="1"/>
    </xf>
    <xf numFmtId="9" fontId="13" fillId="0" borderId="6" xfId="1" applyNumberFormat="1" applyFont="1" applyFill="1" applyBorder="1" applyAlignment="1">
      <alignment horizontal="left" vertical="top" wrapText="1"/>
    </xf>
    <xf numFmtId="9" fontId="13" fillId="0" borderId="3" xfId="1" applyNumberFormat="1" applyFont="1" applyFill="1" applyBorder="1" applyAlignment="1">
      <alignment horizontal="left" vertical="top" wrapText="1"/>
    </xf>
    <xf numFmtId="9" fontId="13" fillId="0" borderId="4" xfId="1" applyFont="1" applyFill="1" applyBorder="1" applyAlignment="1">
      <alignment horizontal="left" vertical="top" wrapText="1"/>
    </xf>
    <xf numFmtId="9" fontId="13" fillId="0" borderId="1" xfId="1" applyFont="1" applyFill="1" applyBorder="1" applyAlignment="1">
      <alignment horizontal="left" vertical="top" wrapText="1"/>
    </xf>
    <xf numFmtId="9" fontId="13" fillId="0" borderId="13" xfId="1" applyFont="1" applyFill="1" applyBorder="1" applyAlignment="1">
      <alignment horizontal="left" vertical="top" wrapText="1"/>
    </xf>
    <xf numFmtId="9" fontId="13" fillId="0" borderId="0" xfId="1" applyNumberFormat="1" applyFont="1" applyFill="1" applyBorder="1" applyAlignment="1">
      <alignment horizontal="left" vertical="top" wrapText="1"/>
    </xf>
    <xf numFmtId="9" fontId="13" fillId="0" borderId="9" xfId="1" applyNumberFormat="1" applyFont="1" applyFill="1" applyBorder="1" applyAlignment="1">
      <alignment horizontal="left" vertical="top" wrapText="1"/>
    </xf>
    <xf numFmtId="9" fontId="13" fillId="0" borderId="1" xfId="1" applyNumberFormat="1" applyFont="1" applyFill="1" applyBorder="1" applyAlignment="1">
      <alignment horizontal="left" vertical="top" wrapText="1"/>
    </xf>
    <xf numFmtId="9" fontId="13" fillId="0" borderId="13" xfId="1" applyNumberFormat="1" applyFont="1" applyFill="1" applyBorder="1" applyAlignment="1">
      <alignment horizontal="left" vertical="top" wrapText="1"/>
    </xf>
    <xf numFmtId="9" fontId="13" fillId="0" borderId="4" xfId="1" applyNumberFormat="1" applyFont="1" applyFill="1" applyBorder="1" applyAlignment="1">
      <alignment horizontal="left" vertical="top" wrapText="1"/>
    </xf>
    <xf numFmtId="9" fontId="13" fillId="0" borderId="7" xfId="1" applyNumberFormat="1" applyFont="1" applyFill="1" applyBorder="1" applyAlignment="1">
      <alignment horizontal="left" vertical="top" wrapText="1"/>
    </xf>
    <xf numFmtId="0" fontId="5" fillId="0" borderId="0" xfId="3" applyFont="1" applyFill="1" applyBorder="1" applyAlignment="1" applyProtection="1">
      <alignment horizontal="left" vertical="center"/>
    </xf>
    <xf numFmtId="0" fontId="4" fillId="0" borderId="2" xfId="2" applyFont="1" applyFill="1" applyBorder="1" applyAlignment="1">
      <alignment horizontal="left" vertical="top" wrapText="1"/>
    </xf>
    <xf numFmtId="0" fontId="4" fillId="0" borderId="3" xfId="2" applyFont="1" applyFill="1" applyBorder="1" applyAlignment="1">
      <alignment horizontal="left" vertical="top" wrapText="1"/>
    </xf>
    <xf numFmtId="9" fontId="4" fillId="0" borderId="3" xfId="2" applyNumberFormat="1" applyFont="1" applyFill="1" applyBorder="1" applyAlignment="1">
      <alignment horizontal="left" vertical="top" wrapText="1"/>
    </xf>
    <xf numFmtId="0" fontId="4" fillId="0" borderId="12" xfId="2" applyFont="1" applyFill="1" applyBorder="1" applyAlignment="1">
      <alignment horizontal="left" vertical="top" wrapText="1"/>
    </xf>
    <xf numFmtId="0" fontId="4" fillId="0" borderId="1" xfId="2" applyFont="1" applyFill="1" applyBorder="1" applyAlignment="1">
      <alignment horizontal="left" vertical="top" wrapText="1"/>
    </xf>
    <xf numFmtId="9" fontId="4" fillId="0" borderId="1" xfId="2" applyNumberFormat="1" applyFont="1" applyFill="1" applyBorder="1" applyAlignment="1">
      <alignment horizontal="left" vertical="top" wrapText="1"/>
    </xf>
    <xf numFmtId="0" fontId="4" fillId="0" borderId="5" xfId="2" applyFont="1" applyFill="1" applyBorder="1" applyAlignment="1">
      <alignment horizontal="left" vertical="top" wrapText="1"/>
    </xf>
    <xf numFmtId="0" fontId="4" fillId="0" borderId="8" xfId="2" applyFont="1" applyFill="1" applyBorder="1" applyAlignment="1">
      <alignment horizontal="left" vertical="top" wrapText="1"/>
    </xf>
    <xf numFmtId="0" fontId="4" fillId="0" borderId="0" xfId="2" applyFont="1" applyFill="1" applyBorder="1" applyAlignment="1">
      <alignment horizontal="left" vertical="top" wrapText="1"/>
    </xf>
    <xf numFmtId="165" fontId="4" fillId="0" borderId="0" xfId="2" applyNumberFormat="1" applyFont="1" applyFill="1" applyBorder="1" applyAlignment="1">
      <alignment horizontal="left" vertical="top" wrapText="1"/>
    </xf>
    <xf numFmtId="0" fontId="4" fillId="0" borderId="8" xfId="2" applyFont="1" applyFill="1" applyBorder="1" applyAlignment="1">
      <alignment horizontal="left" vertical="top"/>
    </xf>
    <xf numFmtId="0" fontId="4" fillId="0" borderId="5" xfId="2" applyFont="1" applyFill="1" applyBorder="1" applyAlignment="1">
      <alignment vertical="top"/>
    </xf>
    <xf numFmtId="0" fontId="4" fillId="0" borderId="6" xfId="2" applyFont="1" applyFill="1" applyBorder="1" applyAlignment="1">
      <alignment horizontal="left" vertical="top" wrapText="1"/>
    </xf>
    <xf numFmtId="9" fontId="4" fillId="0" borderId="7" xfId="2" applyNumberFormat="1" applyFont="1" applyFill="1" applyBorder="1" applyAlignment="1">
      <alignment horizontal="left" vertical="top" wrapText="1"/>
    </xf>
    <xf numFmtId="9" fontId="4" fillId="0" borderId="0" xfId="2" quotePrefix="1" applyNumberFormat="1" applyFont="1" applyFill="1" applyBorder="1" applyAlignment="1">
      <alignment horizontal="left" vertical="top" wrapText="1"/>
    </xf>
    <xf numFmtId="0" fontId="4" fillId="0" borderId="6" xfId="2" quotePrefix="1" applyFont="1" applyFill="1" applyBorder="1" applyAlignment="1">
      <alignment horizontal="left" vertical="top" wrapText="1"/>
    </xf>
    <xf numFmtId="0" fontId="4" fillId="0" borderId="7" xfId="2" quotePrefix="1" applyFont="1" applyFill="1" applyBorder="1" applyAlignment="1">
      <alignment horizontal="left" vertical="top" wrapText="1"/>
    </xf>
    <xf numFmtId="0" fontId="0" fillId="0" borderId="0" xfId="0" applyFill="1" applyAlignment="1">
      <alignment horizontal="left" vertical="center"/>
    </xf>
    <xf numFmtId="0" fontId="3" fillId="0" borderId="2" xfId="5" applyFont="1" applyFill="1" applyBorder="1" applyAlignment="1">
      <alignment horizontal="left" vertical="top" wrapText="1"/>
    </xf>
    <xf numFmtId="0" fontId="3" fillId="0" borderId="8" xfId="2" applyFont="1" applyFill="1" applyBorder="1" applyAlignment="1">
      <alignment horizontal="left" vertical="top" wrapText="1"/>
    </xf>
    <xf numFmtId="0" fontId="4" fillId="0" borderId="0" xfId="0" applyFont="1" applyFill="1" applyAlignment="1">
      <alignment vertical="top"/>
    </xf>
    <xf numFmtId="0" fontId="4" fillId="0" borderId="0" xfId="0" applyFont="1" applyFill="1" applyAlignment="1">
      <alignment vertical="top" wrapText="1"/>
    </xf>
    <xf numFmtId="0" fontId="4" fillId="0" borderId="0" xfId="0" quotePrefix="1" applyFont="1" applyFill="1" applyAlignment="1">
      <alignment vertical="top"/>
    </xf>
    <xf numFmtId="0" fontId="4" fillId="0" borderId="4" xfId="0" applyFont="1" applyFill="1" applyBorder="1"/>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0" fillId="0" borderId="8" xfId="0" applyFont="1" applyFill="1" applyBorder="1"/>
    <xf numFmtId="10" fontId="4" fillId="0" borderId="8"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10" fontId="4" fillId="0" borderId="9" xfId="0" applyNumberFormat="1" applyFont="1" applyFill="1" applyBorder="1" applyAlignment="1">
      <alignment horizontal="center" vertical="center" wrapText="1"/>
    </xf>
    <xf numFmtId="10" fontId="4" fillId="0" borderId="12"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0" borderId="13" xfId="0" applyNumberFormat="1" applyFont="1" applyFill="1" applyBorder="1" applyAlignment="1">
      <alignment horizontal="center" vertical="center" wrapText="1"/>
    </xf>
    <xf numFmtId="0" fontId="4" fillId="0" borderId="0" xfId="0" applyFont="1" applyFill="1" applyBorder="1" applyAlignment="1">
      <alignment horizontal="center"/>
    </xf>
    <xf numFmtId="0" fontId="4" fillId="0" borderId="0" xfId="0" quotePrefix="1" applyFont="1" applyFill="1" applyBorder="1" applyAlignment="1">
      <alignment horizontal="center"/>
    </xf>
    <xf numFmtId="0" fontId="5" fillId="3" borderId="0" xfId="3" applyFont="1" applyFill="1" applyBorder="1" applyAlignment="1" applyProtection="1">
      <alignment horizontal="left" vertical="center"/>
    </xf>
    <xf numFmtId="0" fontId="4" fillId="0" borderId="0" xfId="5" applyFont="1" applyFill="1" applyBorder="1" applyAlignment="1"/>
    <xf numFmtId="0" fontId="4" fillId="3" borderId="11" xfId="0" applyFont="1" applyFill="1" applyBorder="1" applyAlignment="1">
      <alignment vertical="top"/>
    </xf>
    <xf numFmtId="0" fontId="4" fillId="3" borderId="11" xfId="0" applyFont="1" applyFill="1" applyBorder="1"/>
    <xf numFmtId="0" fontId="4" fillId="3" borderId="14" xfId="0" applyFont="1" applyFill="1" applyBorder="1"/>
    <xf numFmtId="167" fontId="4" fillId="3" borderId="10" xfId="0" applyNumberFormat="1" applyFont="1" applyFill="1" applyBorder="1"/>
    <xf numFmtId="168" fontId="4" fillId="3" borderId="11" xfId="0" applyNumberFormat="1" applyFont="1" applyFill="1" applyBorder="1"/>
    <xf numFmtId="169" fontId="4" fillId="3" borderId="11" xfId="0" applyNumberFormat="1" applyFont="1" applyFill="1" applyBorder="1"/>
    <xf numFmtId="170" fontId="8" fillId="3" borderId="11" xfId="0" applyNumberFormat="1" applyFont="1" applyFill="1" applyBorder="1"/>
    <xf numFmtId="171" fontId="4" fillId="3" borderId="11" xfId="0" applyNumberFormat="1" applyFont="1" applyFill="1" applyBorder="1"/>
    <xf numFmtId="172" fontId="4" fillId="3" borderId="11" xfId="0" applyNumberFormat="1" applyFont="1" applyFill="1" applyBorder="1"/>
    <xf numFmtId="173" fontId="8" fillId="3" borderId="11" xfId="0" applyNumberFormat="1" applyFont="1" applyFill="1" applyBorder="1"/>
    <xf numFmtId="174" fontId="4" fillId="3" borderId="11" xfId="0" applyNumberFormat="1" applyFont="1" applyFill="1" applyBorder="1"/>
    <xf numFmtId="175" fontId="4" fillId="3" borderId="11" xfId="0" applyNumberFormat="1" applyFont="1" applyFill="1" applyBorder="1"/>
    <xf numFmtId="176" fontId="4" fillId="3" borderId="11" xfId="0" applyNumberFormat="1" applyFont="1" applyFill="1" applyBorder="1"/>
    <xf numFmtId="177" fontId="4" fillId="3" borderId="11" xfId="0" applyNumberFormat="1" applyFont="1" applyFill="1" applyBorder="1"/>
    <xf numFmtId="179" fontId="4" fillId="3" borderId="11" xfId="0" applyNumberFormat="1" applyFont="1" applyFill="1" applyBorder="1"/>
    <xf numFmtId="180" fontId="4" fillId="3" borderId="11" xfId="0" applyNumberFormat="1" applyFont="1" applyFill="1" applyBorder="1"/>
    <xf numFmtId="178" fontId="4" fillId="3" borderId="11" xfId="0" applyNumberFormat="1" applyFont="1" applyFill="1" applyBorder="1"/>
    <xf numFmtId="181" fontId="4" fillId="3" borderId="11" xfId="0" applyNumberFormat="1" applyFont="1" applyFill="1" applyBorder="1"/>
    <xf numFmtId="182" fontId="4" fillId="3" borderId="11" xfId="0" applyNumberFormat="1" applyFont="1" applyFill="1" applyBorder="1"/>
    <xf numFmtId="183" fontId="4" fillId="3" borderId="14" xfId="0" applyNumberFormat="1" applyFont="1" applyFill="1" applyBorder="1"/>
    <xf numFmtId="167" fontId="4" fillId="3" borderId="11" xfId="0" applyNumberFormat="1" applyFont="1" applyFill="1" applyBorder="1"/>
    <xf numFmtId="0" fontId="10" fillId="3" borderId="15" xfId="0" applyFont="1" applyFill="1" applyBorder="1"/>
    <xf numFmtId="0" fontId="8" fillId="3" borderId="15" xfId="0" applyFont="1" applyFill="1" applyBorder="1"/>
    <xf numFmtId="0" fontId="4" fillId="3" borderId="0" xfId="0" applyFont="1" applyFill="1" applyBorder="1"/>
    <xf numFmtId="0" fontId="6" fillId="0" borderId="0" xfId="0" applyFont="1" applyFill="1" applyAlignment="1"/>
    <xf numFmtId="1" fontId="4" fillId="0" borderId="6" xfId="1" applyNumberFormat="1" applyFont="1" applyFill="1" applyBorder="1" applyAlignment="1">
      <alignment horizontal="left" vertical="top" wrapText="1"/>
    </xf>
    <xf numFmtId="1" fontId="4" fillId="0" borderId="7" xfId="1" applyNumberFormat="1" applyFont="1" applyFill="1" applyBorder="1" applyAlignment="1">
      <alignment horizontal="left" vertical="top" wrapText="1"/>
    </xf>
    <xf numFmtId="9" fontId="4" fillId="0" borderId="7" xfId="1" applyFont="1" applyFill="1" applyBorder="1" applyAlignment="1">
      <alignment horizontal="left" vertical="top" wrapText="1"/>
    </xf>
    <xf numFmtId="0" fontId="4" fillId="0" borderId="13" xfId="1" quotePrefix="1" applyNumberFormat="1" applyFont="1" applyFill="1" applyBorder="1" applyAlignment="1">
      <alignment horizontal="center" vertical="top" wrapText="1"/>
    </xf>
    <xf numFmtId="9" fontId="4" fillId="0" borderId="0" xfId="5" applyNumberFormat="1" applyFont="1" applyFill="1" applyBorder="1" applyAlignment="1">
      <alignment horizontal="left" vertical="top" wrapText="1"/>
    </xf>
    <xf numFmtId="1" fontId="4" fillId="0" borderId="0" xfId="5" applyNumberFormat="1" applyFont="1" applyFill="1" applyBorder="1" applyAlignment="1">
      <alignment horizontal="left" vertical="top" wrapText="1"/>
    </xf>
    <xf numFmtId="1" fontId="4" fillId="0" borderId="9" xfId="1" applyNumberFormat="1" applyFont="1" applyFill="1" applyBorder="1" applyAlignment="1">
      <alignment horizontal="left" vertical="top" wrapText="1"/>
    </xf>
    <xf numFmtId="165" fontId="4" fillId="0" borderId="6" xfId="1" quotePrefix="1" applyNumberFormat="1" applyFont="1" applyFill="1" applyBorder="1" applyAlignment="1">
      <alignment horizontal="center" vertical="top"/>
    </xf>
    <xf numFmtId="0" fontId="4" fillId="0" borderId="8" xfId="0" applyFont="1" applyFill="1" applyBorder="1" applyAlignment="1">
      <alignment vertical="top"/>
    </xf>
    <xf numFmtId="1" fontId="3" fillId="0" borderId="11" xfId="1" applyNumberFormat="1" applyFont="1" applyFill="1" applyBorder="1" applyAlignment="1">
      <alignment horizontal="left" vertical="top" wrapText="1"/>
    </xf>
    <xf numFmtId="1" fontId="4" fillId="0" borderId="11" xfId="1" applyNumberFormat="1" applyFont="1" applyFill="1" applyBorder="1" applyAlignment="1">
      <alignment horizontal="left" vertical="top" wrapText="1"/>
    </xf>
    <xf numFmtId="0" fontId="4" fillId="0" borderId="4" xfId="1" quotePrefix="1" applyNumberFormat="1" applyFont="1" applyFill="1" applyBorder="1" applyAlignment="1">
      <alignment horizontal="center" vertical="top" wrapText="1"/>
    </xf>
    <xf numFmtId="9" fontId="4" fillId="0" borderId="9" xfId="1" applyFont="1" applyFill="1" applyBorder="1" applyAlignment="1">
      <alignment horizontal="center" vertical="top" wrapText="1"/>
    </xf>
    <xf numFmtId="0" fontId="4" fillId="0" borderId="9" xfId="1" quotePrefix="1" applyNumberFormat="1" applyFont="1" applyFill="1" applyBorder="1" applyAlignment="1">
      <alignment horizontal="center" vertical="top" wrapText="1"/>
    </xf>
    <xf numFmtId="1" fontId="4" fillId="0" borderId="0" xfId="1" applyNumberFormat="1" applyFont="1" applyFill="1" applyBorder="1" applyAlignment="1">
      <alignment horizontal="center" vertical="top" wrapText="1"/>
    </xf>
    <xf numFmtId="165" fontId="4" fillId="0" borderId="8" xfId="1" applyNumberFormat="1" applyFont="1" applyFill="1" applyBorder="1" applyAlignment="1">
      <alignment horizontal="center" vertical="top" wrapText="1"/>
    </xf>
    <xf numFmtId="0" fontId="4" fillId="0" borderId="9" xfId="1" applyNumberFormat="1" applyFont="1" applyFill="1" applyBorder="1" applyAlignment="1">
      <alignment horizontal="center" vertical="top" wrapText="1"/>
    </xf>
    <xf numFmtId="165" fontId="4" fillId="0" borderId="0" xfId="1" applyNumberFormat="1" applyFont="1" applyFill="1" applyBorder="1" applyAlignment="1">
      <alignment horizontal="left" vertical="top" wrapText="1"/>
    </xf>
    <xf numFmtId="9" fontId="4" fillId="0" borderId="3" xfId="5" applyNumberFormat="1" applyFont="1" applyFill="1" applyBorder="1" applyAlignment="1">
      <alignment horizontal="left" vertical="top" wrapText="1"/>
    </xf>
    <xf numFmtId="0" fontId="8" fillId="0" borderId="4" xfId="0" applyFont="1" applyFill="1" applyBorder="1" applyAlignment="1">
      <alignment horizontal="center" vertical="center" wrapText="1"/>
    </xf>
    <xf numFmtId="0" fontId="8" fillId="0" borderId="10" xfId="0" applyFont="1" applyFill="1" applyBorder="1" applyAlignment="1">
      <alignment horizontal="center" vertical="center" wrapText="1"/>
    </xf>
    <xf numFmtId="9" fontId="4" fillId="0" borderId="12" xfId="2" applyNumberFormat="1" applyFont="1" applyFill="1" applyBorder="1" applyAlignment="1">
      <alignment horizontal="left" vertical="top" wrapText="1"/>
    </xf>
    <xf numFmtId="9" fontId="4" fillId="0" borderId="5" xfId="2" applyNumberFormat="1" applyFont="1" applyFill="1" applyBorder="1" applyAlignment="1">
      <alignment horizontal="left" vertical="top" wrapText="1"/>
    </xf>
    <xf numFmtId="0" fontId="8" fillId="0" borderId="1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1" fontId="4" fillId="0" borderId="22" xfId="2" applyNumberFormat="1" applyFont="1" applyFill="1" applyBorder="1" applyAlignment="1">
      <alignment horizontal="left" vertical="top" wrapText="1"/>
    </xf>
    <xf numFmtId="1" fontId="4" fillId="0" borderId="22" xfId="1" applyNumberFormat="1" applyFont="1" applyFill="1" applyBorder="1" applyAlignment="1">
      <alignment horizontal="left" vertical="top" wrapText="1"/>
    </xf>
    <xf numFmtId="1" fontId="4" fillId="0" borderId="23" xfId="1" applyNumberFormat="1" applyFont="1" applyFill="1" applyBorder="1" applyAlignment="1">
      <alignment horizontal="left" vertical="top" wrapText="1"/>
    </xf>
    <xf numFmtId="1" fontId="4" fillId="0" borderId="19" xfId="1" applyNumberFormat="1" applyFont="1" applyFill="1" applyBorder="1" applyAlignment="1">
      <alignment horizontal="left" vertical="top" wrapText="1"/>
    </xf>
    <xf numFmtId="1" fontId="4" fillId="0" borderId="19" xfId="2" applyNumberFormat="1" applyFont="1" applyFill="1" applyBorder="1" applyAlignment="1">
      <alignment horizontal="left" vertical="top" wrapText="1"/>
    </xf>
    <xf numFmtId="0" fontId="4" fillId="0" borderId="19" xfId="0" applyFont="1" applyFill="1" applyBorder="1"/>
    <xf numFmtId="0" fontId="10" fillId="0" borderId="19" xfId="0" applyFont="1" applyFill="1" applyBorder="1" applyAlignment="1">
      <alignment horizontal="center" vertical="center" wrapText="1"/>
    </xf>
    <xf numFmtId="0" fontId="4" fillId="0" borderId="22" xfId="1" applyNumberFormat="1" applyFont="1" applyFill="1" applyBorder="1" applyAlignment="1">
      <alignment horizontal="left" vertical="top" wrapText="1"/>
    </xf>
    <xf numFmtId="0" fontId="4" fillId="0" borderId="19" xfId="1" applyNumberFormat="1" applyFont="1" applyFill="1" applyBorder="1" applyAlignment="1">
      <alignment horizontal="left" vertical="top" wrapText="1"/>
    </xf>
    <xf numFmtId="9" fontId="4" fillId="0" borderId="22" xfId="1" applyFont="1" applyFill="1" applyBorder="1" applyAlignment="1">
      <alignment horizontal="left" vertical="top" wrapText="1"/>
    </xf>
    <xf numFmtId="9" fontId="4" fillId="0" borderId="19" xfId="1" applyFont="1" applyFill="1" applyBorder="1" applyAlignment="1">
      <alignment horizontal="left" vertical="top" wrapText="1"/>
    </xf>
    <xf numFmtId="0" fontId="13" fillId="0" borderId="23" xfId="0" applyFont="1" applyFill="1" applyBorder="1"/>
    <xf numFmtId="9" fontId="13" fillId="0" borderId="22" xfId="1" applyFont="1" applyFill="1" applyBorder="1" applyAlignment="1">
      <alignment horizontal="left" vertical="top" wrapText="1"/>
    </xf>
    <xf numFmtId="9" fontId="4" fillId="0" borderId="2" xfId="1" applyFont="1" applyFill="1" applyBorder="1" applyAlignment="1">
      <alignment horizontal="left" vertical="top" wrapText="1"/>
    </xf>
    <xf numFmtId="0" fontId="4" fillId="0" borderId="9" xfId="1" applyNumberFormat="1" applyFont="1" applyFill="1" applyBorder="1" applyAlignment="1">
      <alignment horizontal="left" vertical="top" wrapText="1"/>
    </xf>
    <xf numFmtId="9" fontId="4" fillId="0" borderId="13" xfId="1" applyFont="1" applyFill="1" applyBorder="1" applyAlignment="1">
      <alignment vertical="top" wrapText="1"/>
    </xf>
    <xf numFmtId="9" fontId="4" fillId="0" borderId="5" xfId="1" applyFont="1" applyFill="1" applyBorder="1" applyAlignment="1">
      <alignment horizontal="left" vertical="top" wrapText="1"/>
    </xf>
    <xf numFmtId="9" fontId="4" fillId="0" borderId="15" xfId="1" applyFont="1" applyFill="1" applyBorder="1" applyAlignment="1">
      <alignment horizontal="left" vertical="top" wrapText="1"/>
    </xf>
    <xf numFmtId="0" fontId="4" fillId="0" borderId="11" xfId="0" applyFont="1" applyFill="1" applyBorder="1" applyAlignment="1">
      <alignment horizontal="left" vertical="center" wrapText="1"/>
    </xf>
    <xf numFmtId="0" fontId="0" fillId="0" borderId="3" xfId="0" applyBorder="1"/>
    <xf numFmtId="9" fontId="4" fillId="0" borderId="5" xfId="2" applyNumberFormat="1" applyFont="1" applyFill="1" applyBorder="1" applyAlignment="1">
      <alignment horizontal="left" vertical="top" wrapText="1"/>
    </xf>
    <xf numFmtId="0" fontId="4" fillId="0" borderId="11" xfId="0" applyFont="1" applyFill="1" applyBorder="1" applyAlignment="1">
      <alignment vertical="top"/>
    </xf>
    <xf numFmtId="9" fontId="4" fillId="0" borderId="5" xfId="1" applyFont="1" applyFill="1" applyBorder="1" applyAlignment="1">
      <alignment horizontal="left" vertical="top" wrapText="1"/>
    </xf>
    <xf numFmtId="9" fontId="4" fillId="0" borderId="5" xfId="2" applyNumberFormat="1" applyFont="1" applyFill="1" applyBorder="1" applyAlignment="1">
      <alignment horizontal="left" vertical="top" wrapText="1"/>
    </xf>
    <xf numFmtId="9" fontId="4" fillId="0" borderId="5" xfId="1" applyFont="1" applyFill="1" applyBorder="1" applyAlignment="1">
      <alignment horizontal="left" vertical="top" wrapText="1"/>
    </xf>
    <xf numFmtId="9" fontId="4" fillId="0" borderId="11" xfId="2" applyNumberFormat="1" applyFont="1" applyFill="1" applyBorder="1" applyAlignment="1">
      <alignment horizontal="left" vertical="top" wrapText="1"/>
    </xf>
    <xf numFmtId="9" fontId="4" fillId="0" borderId="9" xfId="1" quotePrefix="1" applyFont="1" applyFill="1" applyBorder="1" applyAlignment="1">
      <alignment horizontal="left" vertical="top" wrapText="1"/>
    </xf>
    <xf numFmtId="9" fontId="4" fillId="0" borderId="24" xfId="2" applyNumberFormat="1" applyFont="1" applyFill="1" applyBorder="1" applyAlignment="1">
      <alignment horizontal="left" vertical="top" wrapText="1"/>
    </xf>
    <xf numFmtId="9" fontId="4" fillId="0" borderId="9" xfId="1" quotePrefix="1" applyFont="1" applyFill="1" applyBorder="1" applyAlignment="1">
      <alignment horizontal="center" vertical="top" wrapText="1"/>
    </xf>
    <xf numFmtId="0" fontId="3" fillId="0" borderId="12" xfId="5" applyFont="1" applyFill="1" applyBorder="1" applyAlignment="1">
      <alignment horizontal="left" vertical="top" wrapText="1"/>
    </xf>
    <xf numFmtId="10" fontId="4" fillId="0" borderId="7" xfId="1" applyNumberFormat="1" applyFont="1" applyFill="1" applyBorder="1" applyAlignment="1">
      <alignment horizontal="left" vertical="top" wrapText="1"/>
    </xf>
    <xf numFmtId="165" fontId="4" fillId="0" borderId="6" xfId="2" quotePrefix="1" applyNumberFormat="1" applyFont="1" applyFill="1" applyBorder="1" applyAlignment="1">
      <alignment horizontal="center" vertical="top" wrapText="1"/>
    </xf>
    <xf numFmtId="1" fontId="4" fillId="0" borderId="3" xfId="2" quotePrefix="1" applyNumberFormat="1" applyFont="1" applyFill="1" applyBorder="1" applyAlignment="1">
      <alignment horizontal="center" vertical="top" wrapText="1"/>
    </xf>
    <xf numFmtId="1" fontId="4" fillId="0" borderId="1" xfId="2" quotePrefix="1" applyNumberFormat="1" applyFont="1" applyFill="1" applyBorder="1" applyAlignment="1">
      <alignment horizontal="center" vertical="top" wrapText="1"/>
    </xf>
    <xf numFmtId="0" fontId="4" fillId="0" borderId="8" xfId="1" applyNumberFormat="1" applyFont="1" applyFill="1" applyBorder="1" applyAlignment="1">
      <alignment horizontal="left" vertical="top" wrapText="1"/>
    </xf>
    <xf numFmtId="165" fontId="4" fillId="0" borderId="1" xfId="1" quotePrefix="1" applyNumberFormat="1" applyFont="1" applyFill="1" applyBorder="1" applyAlignment="1">
      <alignment horizontal="center" vertical="top"/>
    </xf>
    <xf numFmtId="184" fontId="4" fillId="0" borderId="6" xfId="1" applyNumberFormat="1" applyFont="1" applyFill="1" applyBorder="1" applyAlignment="1">
      <alignment horizontal="left" vertical="top" wrapText="1"/>
    </xf>
    <xf numFmtId="9" fontId="4" fillId="0" borderId="5" xfId="1" applyFont="1" applyFill="1" applyBorder="1" applyAlignment="1">
      <alignment horizontal="left" vertical="top" wrapText="1"/>
    </xf>
    <xf numFmtId="9" fontId="4" fillId="0" borderId="6" xfId="1" applyFont="1" applyFill="1" applyBorder="1" applyAlignment="1">
      <alignment horizontal="left" vertical="top" wrapText="1"/>
    </xf>
    <xf numFmtId="0" fontId="4" fillId="0" borderId="5" xfId="1" applyNumberFormat="1" applyFont="1" applyFill="1" applyBorder="1" applyAlignment="1">
      <alignment horizontal="left" vertical="top" wrapText="1"/>
    </xf>
    <xf numFmtId="9" fontId="4" fillId="0" borderId="5" xfId="2" applyNumberFormat="1" applyFont="1" applyFill="1" applyBorder="1" applyAlignment="1">
      <alignment horizontal="left" vertical="top" wrapText="1"/>
    </xf>
    <xf numFmtId="0" fontId="4" fillId="0" borderId="10" xfId="0" applyFont="1" applyFill="1" applyBorder="1" applyAlignment="1">
      <alignment vertical="top"/>
    </xf>
    <xf numFmtId="0" fontId="4" fillId="0" borderId="3" xfId="0" applyFont="1" applyFill="1" applyBorder="1" applyAlignment="1">
      <alignment vertical="top"/>
    </xf>
    <xf numFmtId="165" fontId="4" fillId="0" borderId="7" xfId="1" quotePrefix="1" applyNumberFormat="1" applyFont="1" applyFill="1" applyBorder="1" applyAlignment="1">
      <alignment vertical="top" wrapText="1"/>
    </xf>
    <xf numFmtId="9" fontId="4" fillId="0" borderId="5" xfId="2" applyNumberFormat="1" applyFont="1" applyFill="1" applyBorder="1" applyAlignment="1">
      <alignment horizontal="left" vertical="top" wrapText="1"/>
    </xf>
    <xf numFmtId="9" fontId="4" fillId="0" borderId="7" xfId="2" applyNumberFormat="1" applyFont="1" applyFill="1" applyBorder="1" applyAlignment="1">
      <alignment horizontal="left" vertical="top" wrapText="1"/>
    </xf>
    <xf numFmtId="1" fontId="3" fillId="0" borderId="0" xfId="1" applyNumberFormat="1" applyFont="1" applyFill="1" applyBorder="1" applyAlignment="1">
      <alignment horizontal="left" vertical="top" wrapText="1"/>
    </xf>
    <xf numFmtId="10" fontId="4" fillId="0" borderId="1" xfId="2" applyNumberFormat="1" applyFont="1" applyFill="1" applyBorder="1" applyAlignment="1">
      <alignment horizontal="left" vertical="top" wrapText="1"/>
    </xf>
    <xf numFmtId="9" fontId="4" fillId="0" borderId="5" xfId="2" applyNumberFormat="1" applyFont="1" applyFill="1" applyBorder="1" applyAlignment="1">
      <alignment horizontal="left" vertical="top" wrapText="1"/>
    </xf>
    <xf numFmtId="9" fontId="4" fillId="5" borderId="8" xfId="2" applyNumberFormat="1" applyFont="1" applyFill="1" applyBorder="1" applyAlignment="1">
      <alignment horizontal="left" vertical="top" wrapText="1"/>
    </xf>
    <xf numFmtId="9" fontId="4" fillId="5" borderId="9" xfId="2" applyNumberFormat="1" applyFont="1" applyFill="1" applyBorder="1" applyAlignment="1">
      <alignment horizontal="left" vertical="top" wrapText="1"/>
    </xf>
    <xf numFmtId="9" fontId="4" fillId="5" borderId="5" xfId="2" applyNumberFormat="1" applyFont="1" applyFill="1" applyBorder="1" applyAlignment="1">
      <alignment horizontal="left" vertical="top" wrapText="1"/>
    </xf>
    <xf numFmtId="9" fontId="4" fillId="5" borderId="7" xfId="2" applyNumberFormat="1" applyFont="1" applyFill="1" applyBorder="1" applyAlignment="1">
      <alignment horizontal="left" vertical="top" wrapText="1"/>
    </xf>
    <xf numFmtId="9" fontId="4" fillId="5" borderId="6" xfId="1" applyFont="1" applyFill="1" applyBorder="1" applyAlignment="1">
      <alignment horizontal="left" vertical="top" wrapText="1"/>
    </xf>
    <xf numFmtId="9" fontId="4" fillId="5" borderId="1" xfId="1" applyFont="1" applyFill="1" applyBorder="1" applyAlignment="1">
      <alignment horizontal="left" vertical="top" wrapText="1"/>
    </xf>
    <xf numFmtId="9" fontId="4" fillId="5" borderId="0" xfId="1" applyFont="1" applyFill="1" applyBorder="1" applyAlignment="1">
      <alignment horizontal="left" vertical="top" wrapText="1"/>
    </xf>
    <xf numFmtId="9" fontId="4" fillId="5" borderId="6" xfId="2" applyNumberFormat="1" applyFont="1" applyFill="1" applyBorder="1" applyAlignment="1">
      <alignment horizontal="left" vertical="top" wrapText="1"/>
    </xf>
    <xf numFmtId="9" fontId="4" fillId="5" borderId="0" xfId="2" applyNumberFormat="1" applyFont="1" applyFill="1" applyBorder="1" applyAlignment="1">
      <alignment horizontal="left" vertical="top" wrapText="1"/>
    </xf>
    <xf numFmtId="1" fontId="4" fillId="5" borderId="1" xfId="1" applyNumberFormat="1" applyFont="1" applyFill="1" applyBorder="1" applyAlignment="1">
      <alignment horizontal="left" vertical="top" wrapText="1"/>
    </xf>
    <xf numFmtId="1" fontId="4" fillId="5" borderId="0" xfId="1" applyNumberFormat="1" applyFont="1" applyFill="1" applyBorder="1" applyAlignment="1">
      <alignment horizontal="left" vertical="top" wrapText="1"/>
    </xf>
    <xf numFmtId="1" fontId="4" fillId="5" borderId="6" xfId="1" applyNumberFormat="1" applyFont="1" applyFill="1" applyBorder="1" applyAlignment="1">
      <alignment horizontal="left" vertical="top" wrapText="1"/>
    </xf>
    <xf numFmtId="1" fontId="4" fillId="5" borderId="7" xfId="2" applyNumberFormat="1" applyFont="1" applyFill="1" applyBorder="1" applyAlignment="1">
      <alignment horizontal="left" vertical="top" wrapText="1"/>
    </xf>
    <xf numFmtId="9" fontId="4" fillId="5" borderId="5" xfId="1" applyFont="1" applyFill="1" applyBorder="1" applyAlignment="1">
      <alignment horizontal="left" vertical="top" wrapText="1"/>
    </xf>
    <xf numFmtId="9" fontId="4" fillId="5" borderId="7" xfId="1" applyFont="1" applyFill="1" applyBorder="1" applyAlignment="1">
      <alignment horizontal="left" vertical="top" wrapText="1"/>
    </xf>
    <xf numFmtId="0" fontId="3" fillId="0" borderId="16" xfId="0" applyFont="1" applyFill="1" applyBorder="1" applyAlignment="1">
      <alignment horizontal="left" vertical="center" wrapText="1"/>
    </xf>
    <xf numFmtId="1" fontId="3" fillId="0" borderId="10" xfId="2" applyNumberFormat="1" applyFont="1" applyFill="1" applyBorder="1" applyAlignment="1">
      <alignment horizontal="left" vertical="top" wrapText="1"/>
    </xf>
    <xf numFmtId="164" fontId="4" fillId="0" borderId="6" xfId="2" quotePrefix="1" applyNumberFormat="1" applyFont="1" applyFill="1" applyBorder="1" applyAlignment="1">
      <alignment vertical="top" wrapText="1"/>
    </xf>
    <xf numFmtId="1" fontId="3" fillId="0" borderId="14" xfId="2" applyNumberFormat="1" applyFont="1" applyFill="1" applyBorder="1" applyAlignment="1">
      <alignment horizontal="left" vertical="top" wrapText="1"/>
    </xf>
    <xf numFmtId="0" fontId="4" fillId="0" borderId="10" xfId="2" applyFont="1" applyFill="1" applyBorder="1" applyAlignment="1">
      <alignment horizontal="left" vertical="top" wrapText="1"/>
    </xf>
    <xf numFmtId="165" fontId="4" fillId="0" borderId="4" xfId="1" applyNumberFormat="1" applyFont="1" applyFill="1" applyBorder="1" applyAlignment="1">
      <alignment horizontal="center" vertical="top" wrapText="1"/>
    </xf>
    <xf numFmtId="165" fontId="4" fillId="0" borderId="9" xfId="1" applyNumberFormat="1" applyFont="1" applyFill="1" applyBorder="1" applyAlignment="1">
      <alignment horizontal="center" vertical="top" wrapText="1"/>
    </xf>
    <xf numFmtId="1" fontId="4" fillId="0" borderId="4" xfId="5" quotePrefix="1" applyNumberFormat="1" applyFont="1" applyFill="1" applyBorder="1" applyAlignment="1">
      <alignment horizontal="left" vertical="top" wrapText="1"/>
    </xf>
    <xf numFmtId="0" fontId="4" fillId="0" borderId="4" xfId="2" applyFont="1" applyFill="1" applyBorder="1" applyAlignment="1">
      <alignment horizontal="left" vertical="top" wrapText="1"/>
    </xf>
    <xf numFmtId="9" fontId="4" fillId="0" borderId="0" xfId="1" quotePrefix="1" applyFont="1" applyFill="1" applyBorder="1" applyAlignment="1">
      <alignment horizontal="left" vertical="top" wrapText="1"/>
    </xf>
    <xf numFmtId="9" fontId="4" fillId="0" borderId="6" xfId="2" quotePrefix="1" applyNumberFormat="1" applyFont="1" applyFill="1" applyBorder="1" applyAlignment="1">
      <alignment horizontal="left" vertical="top" wrapText="1"/>
    </xf>
    <xf numFmtId="9" fontId="4" fillId="0" borderId="7" xfId="2" quotePrefix="1" applyNumberFormat="1" applyFont="1" applyFill="1" applyBorder="1" applyAlignment="1">
      <alignment horizontal="left" vertical="top" wrapText="1"/>
    </xf>
    <xf numFmtId="165" fontId="4" fillId="0" borderId="8" xfId="2" applyNumberFormat="1" applyFont="1" applyFill="1" applyBorder="1" applyAlignment="1">
      <alignment horizontal="center" vertical="top" wrapText="1"/>
    </xf>
    <xf numFmtId="165" fontId="4" fillId="0" borderId="5" xfId="1" quotePrefix="1" applyNumberFormat="1" applyFont="1" applyFill="1" applyBorder="1" applyAlignment="1">
      <alignment horizontal="center" vertical="top" wrapText="1"/>
    </xf>
    <xf numFmtId="9" fontId="4" fillId="0" borderId="5" xfId="2" applyNumberFormat="1" applyFont="1" applyFill="1" applyBorder="1" applyAlignment="1">
      <alignment horizontal="center" vertical="top" wrapText="1"/>
    </xf>
    <xf numFmtId="9" fontId="4" fillId="0" borderId="7" xfId="2" applyNumberFormat="1" applyFont="1" applyFill="1" applyBorder="1" applyAlignment="1">
      <alignment horizontal="left" vertical="top" wrapText="1"/>
    </xf>
    <xf numFmtId="9" fontId="4" fillId="0" borderId="7" xfId="1" applyFont="1" applyFill="1" applyBorder="1" applyAlignment="1">
      <alignment horizontal="center" vertical="top" wrapText="1"/>
    </xf>
    <xf numFmtId="9" fontId="4" fillId="0" borderId="12" xfId="1" applyFont="1" applyFill="1" applyBorder="1" applyAlignment="1">
      <alignment horizontal="center" vertical="top" wrapText="1"/>
    </xf>
    <xf numFmtId="9" fontId="4" fillId="0" borderId="13" xfId="1" applyFont="1" applyFill="1" applyBorder="1" applyAlignment="1">
      <alignment horizontal="center" vertical="top" wrapText="1"/>
    </xf>
    <xf numFmtId="9" fontId="4" fillId="0" borderId="13" xfId="2" applyNumberFormat="1"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xf numFmtId="9" fontId="4" fillId="0" borderId="8" xfId="1" applyFont="1" applyFill="1" applyBorder="1" applyAlignment="1">
      <alignment horizontal="center" vertical="top" wrapText="1"/>
    </xf>
    <xf numFmtId="9" fontId="4" fillId="0" borderId="2" xfId="1"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12" xfId="5" applyFont="1" applyFill="1" applyBorder="1" applyAlignment="1">
      <alignment horizontal="center" vertical="center"/>
    </xf>
    <xf numFmtId="0" fontId="4" fillId="0" borderId="8" xfId="5" applyFont="1" applyFill="1" applyBorder="1" applyAlignment="1">
      <alignment horizontal="center" vertical="center" wrapText="1"/>
    </xf>
    <xf numFmtId="0" fontId="4" fillId="0" borderId="0" xfId="0" applyFont="1" applyFill="1"/>
    <xf numFmtId="0" fontId="4" fillId="0" borderId="0" xfId="0" applyFont="1" applyAlignment="1">
      <alignment horizontal="left" vertical="top" wrapText="1"/>
    </xf>
    <xf numFmtId="0" fontId="4" fillId="0" borderId="0" xfId="0" applyFont="1" applyAlignment="1">
      <alignment horizontal="left" vertical="top"/>
    </xf>
    <xf numFmtId="0" fontId="6" fillId="0" borderId="0" xfId="0" applyFont="1" applyFill="1" applyAlignment="1">
      <alignment horizontal="center"/>
    </xf>
    <xf numFmtId="0" fontId="7" fillId="0" borderId="0" xfId="0" applyFont="1" applyFill="1" applyAlignment="1">
      <alignment horizontal="center"/>
    </xf>
    <xf numFmtId="0" fontId="8" fillId="0" borderId="0" xfId="4" applyFont="1" applyFill="1" applyAlignment="1">
      <alignment horizontal="center"/>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9" fontId="4" fillId="0" borderId="12" xfId="1" applyFont="1" applyFill="1" applyBorder="1" applyAlignment="1">
      <alignment horizontal="center" vertical="top" wrapText="1"/>
    </xf>
    <xf numFmtId="9" fontId="4" fillId="0" borderId="13" xfId="1" applyFont="1" applyFill="1" applyBorder="1" applyAlignment="1">
      <alignment horizontal="center" vertical="top" wrapText="1"/>
    </xf>
    <xf numFmtId="9" fontId="4" fillId="0" borderId="5" xfId="2" applyNumberFormat="1" applyFont="1" applyFill="1" applyBorder="1" applyAlignment="1">
      <alignment horizontal="center" vertical="top" wrapText="1"/>
    </xf>
    <xf numFmtId="9" fontId="4" fillId="0" borderId="7" xfId="2" applyNumberFormat="1" applyFont="1" applyFill="1" applyBorder="1" applyAlignment="1">
      <alignment horizontal="center" vertical="top" wrapText="1"/>
    </xf>
    <xf numFmtId="9" fontId="4" fillId="0" borderId="12" xfId="2" applyNumberFormat="1" applyFont="1" applyFill="1" applyBorder="1" applyAlignment="1">
      <alignment horizontal="left" vertical="top" wrapText="1"/>
    </xf>
    <xf numFmtId="9" fontId="4" fillId="0" borderId="13" xfId="2" applyNumberFormat="1" applyFont="1" applyFill="1" applyBorder="1" applyAlignment="1">
      <alignment horizontal="left" vertical="top" wrapText="1"/>
    </xf>
    <xf numFmtId="9" fontId="4" fillId="0" borderId="5" xfId="2" applyNumberFormat="1" applyFont="1" applyFill="1" applyBorder="1" applyAlignment="1">
      <alignment horizontal="left" vertical="top" wrapText="1"/>
    </xf>
    <xf numFmtId="9" fontId="4" fillId="0" borderId="7" xfId="2" applyNumberFormat="1" applyFont="1" applyFill="1" applyBorder="1" applyAlignment="1">
      <alignment horizontal="left" vertical="top" wrapText="1"/>
    </xf>
    <xf numFmtId="9" fontId="4" fillId="0" borderId="5" xfId="1" applyFont="1" applyFill="1" applyBorder="1" applyAlignment="1">
      <alignment horizontal="center" vertical="top" wrapText="1"/>
    </xf>
    <xf numFmtId="9" fontId="4" fillId="0" borderId="7" xfId="1" applyFont="1" applyFill="1" applyBorder="1" applyAlignment="1">
      <alignment horizontal="center" vertical="top" wrapText="1"/>
    </xf>
    <xf numFmtId="9" fontId="4" fillId="0" borderId="6" xfId="1" applyFont="1" applyFill="1" applyBorder="1" applyAlignment="1">
      <alignment horizontal="center" vertical="top" wrapText="1"/>
    </xf>
    <xf numFmtId="9" fontId="13" fillId="0" borderId="5" xfId="1" applyFont="1" applyFill="1" applyBorder="1" applyAlignment="1">
      <alignment horizontal="center" vertical="top" wrapText="1"/>
    </xf>
    <xf numFmtId="9" fontId="13" fillId="0" borderId="6" xfId="1" applyFont="1" applyFill="1" applyBorder="1" applyAlignment="1">
      <alignment horizontal="center" vertical="top" wrapText="1"/>
    </xf>
    <xf numFmtId="9" fontId="4" fillId="0" borderId="2" xfId="1" applyFont="1" applyFill="1" applyBorder="1" applyAlignment="1">
      <alignment horizontal="center" vertical="top" wrapText="1"/>
    </xf>
    <xf numFmtId="9" fontId="4" fillId="0" borderId="3" xfId="1" applyFont="1" applyFill="1" applyBorder="1" applyAlignment="1">
      <alignment horizontal="center" vertical="top" wrapText="1"/>
    </xf>
    <xf numFmtId="9" fontId="4" fillId="0" borderId="8" xfId="1" applyFont="1" applyFill="1" applyBorder="1" applyAlignment="1">
      <alignment horizontal="center" vertical="top" wrapText="1"/>
    </xf>
    <xf numFmtId="9" fontId="4" fillId="0" borderId="0" xfId="1" applyFont="1" applyFill="1" applyBorder="1" applyAlignment="1">
      <alignment horizontal="center" vertical="top" wrapText="1"/>
    </xf>
    <xf numFmtId="9" fontId="4" fillId="0" borderId="1" xfId="1" applyFont="1" applyFill="1" applyBorder="1" applyAlignment="1">
      <alignment horizontal="center" vertical="top" wrapText="1"/>
    </xf>
    <xf numFmtId="0" fontId="6" fillId="0" borderId="0" xfId="0" applyFont="1" applyFill="1" applyAlignment="1">
      <alignment horizontal="center" vertical="center"/>
    </xf>
    <xf numFmtId="0" fontId="7" fillId="0" borderId="0" xfId="0" applyFont="1" applyFill="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Alignment="1">
      <alignment horizontal="left" vertical="top" wrapText="1"/>
    </xf>
    <xf numFmtId="0" fontId="4" fillId="0" borderId="12" xfId="5" applyFont="1" applyFill="1" applyBorder="1" applyAlignment="1">
      <alignment horizontal="center" vertical="center"/>
    </xf>
    <xf numFmtId="0" fontId="4" fillId="0" borderId="1" xfId="5" applyFont="1" applyFill="1" applyBorder="1" applyAlignment="1">
      <alignment horizontal="center" vertical="center"/>
    </xf>
    <xf numFmtId="0" fontId="4" fillId="0" borderId="13" xfId="5" applyFont="1" applyFill="1" applyBorder="1" applyAlignment="1">
      <alignment horizontal="center" vertical="center"/>
    </xf>
    <xf numFmtId="0" fontId="6" fillId="0" borderId="0" xfId="5" applyFont="1" applyFill="1" applyAlignment="1">
      <alignment horizontal="center"/>
    </xf>
    <xf numFmtId="0" fontId="6" fillId="0" borderId="0" xfId="5" applyFont="1" applyFill="1" applyAlignment="1">
      <alignment horizontal="center" vertical="center"/>
    </xf>
    <xf numFmtId="0" fontId="4" fillId="0" borderId="2" xfId="5" applyFont="1" applyFill="1" applyBorder="1" applyAlignment="1">
      <alignment horizontal="center" vertical="center"/>
    </xf>
    <xf numFmtId="0" fontId="4" fillId="0" borderId="3"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10"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4" fillId="0" borderId="6" xfId="5" applyFont="1" applyFill="1" applyBorder="1" applyAlignment="1">
      <alignment horizontal="center" vertical="center"/>
    </xf>
    <xf numFmtId="0" fontId="4" fillId="0" borderId="7" xfId="5" applyFont="1" applyFill="1" applyBorder="1" applyAlignment="1">
      <alignment horizontal="center" vertical="center"/>
    </xf>
    <xf numFmtId="0" fontId="4" fillId="0" borderId="2" xfId="5" applyFont="1" applyFill="1" applyBorder="1" applyAlignment="1">
      <alignment horizontal="center" vertical="center" wrapText="1"/>
    </xf>
    <xf numFmtId="0" fontId="4" fillId="0" borderId="8" xfId="5" applyFont="1" applyFill="1" applyBorder="1" applyAlignment="1">
      <alignment horizontal="center" vertical="center" wrapText="1"/>
    </xf>
    <xf numFmtId="0" fontId="4" fillId="0" borderId="0" xfId="0" applyFont="1" applyFill="1" applyAlignment="1">
      <alignment horizontal="left" vertical="center" wrapText="1"/>
    </xf>
    <xf numFmtId="0" fontId="6" fillId="0" borderId="0" xfId="0" applyFont="1" applyFill="1" applyBorder="1" applyAlignment="1">
      <alignment horizontal="center"/>
    </xf>
    <xf numFmtId="0" fontId="7" fillId="0" borderId="0" xfId="0" applyFont="1" applyFill="1" applyBorder="1" applyAlignment="1">
      <alignment horizontal="center"/>
    </xf>
    <xf numFmtId="0" fontId="13" fillId="0" borderId="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Border="1" applyAlignment="1">
      <alignment horizontal="left" vertical="top" wrapText="1"/>
    </xf>
    <xf numFmtId="0" fontId="4" fillId="0" borderId="0" xfId="0" applyFont="1" applyFill="1"/>
    <xf numFmtId="0" fontId="4" fillId="0" borderId="0" xfId="0" applyFont="1" applyFill="1" applyBorder="1" applyAlignment="1">
      <alignment vertical="top" wrapText="1"/>
    </xf>
    <xf numFmtId="0" fontId="6" fillId="3" borderId="0" xfId="0" applyFont="1" applyFill="1" applyBorder="1" applyAlignment="1">
      <alignment horizontal="center"/>
    </xf>
    <xf numFmtId="0" fontId="6" fillId="3" borderId="9" xfId="0" applyFont="1" applyFill="1" applyBorder="1" applyAlignment="1">
      <alignment horizontal="center"/>
    </xf>
    <xf numFmtId="0" fontId="6" fillId="3" borderId="1" xfId="0" applyFont="1" applyFill="1" applyBorder="1" applyAlignment="1">
      <alignment horizontal="center"/>
    </xf>
    <xf numFmtId="0" fontId="6" fillId="3" borderId="13" xfId="0" applyFont="1" applyFill="1" applyBorder="1" applyAlignment="1">
      <alignment horizontal="center"/>
    </xf>
    <xf numFmtId="0" fontId="5" fillId="0" borderId="0" xfId="3" applyFill="1" applyBorder="1" applyAlignment="1" applyProtection="1">
      <alignment horizontal="left" vertical="center"/>
    </xf>
    <xf numFmtId="0" fontId="20" fillId="0" borderId="0" xfId="0" applyFont="1" applyFill="1" applyAlignment="1">
      <alignment horizontal="center"/>
    </xf>
    <xf numFmtId="165" fontId="4" fillId="0" borderId="2" xfId="1" quotePrefix="1" applyNumberFormat="1" applyFont="1" applyFill="1" applyBorder="1" applyAlignment="1">
      <alignment horizontal="center" vertical="center"/>
    </xf>
    <xf numFmtId="165" fontId="4" fillId="0" borderId="3" xfId="1" quotePrefix="1" applyNumberFormat="1" applyFont="1" applyFill="1" applyBorder="1" applyAlignment="1">
      <alignment horizontal="center" vertical="center"/>
    </xf>
    <xf numFmtId="165" fontId="4" fillId="0" borderId="12" xfId="1" quotePrefix="1" applyNumberFormat="1" applyFont="1" applyFill="1" applyBorder="1" applyAlignment="1">
      <alignment horizontal="center" vertical="center"/>
    </xf>
    <xf numFmtId="165" fontId="4" fillId="0" borderId="1" xfId="1" quotePrefix="1" applyNumberFormat="1" applyFont="1" applyFill="1" applyBorder="1" applyAlignment="1">
      <alignment horizontal="center" vertical="center"/>
    </xf>
    <xf numFmtId="165" fontId="4" fillId="0" borderId="3" xfId="1" quotePrefix="1" applyNumberFormat="1" applyFont="1" applyFill="1" applyBorder="1" applyAlignment="1">
      <alignment horizontal="center" vertical="top" wrapText="1"/>
    </xf>
    <xf numFmtId="0" fontId="13" fillId="0" borderId="0" xfId="0" applyFont="1" applyFill="1" applyAlignment="1">
      <alignment horizontal="left" vertical="top"/>
    </xf>
    <xf numFmtId="165" fontId="4" fillId="0" borderId="5" xfId="1" applyNumberFormat="1" applyFont="1" applyFill="1" applyBorder="1" applyAlignment="1">
      <alignment horizontal="center" vertical="top" wrapText="1"/>
    </xf>
    <xf numFmtId="0" fontId="19" fillId="0" borderId="0" xfId="0" applyFont="1" applyFill="1"/>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wrapText="1"/>
    </xf>
  </cellXfs>
  <cellStyles count="6">
    <cellStyle name="Good" xfId="2" builtinId="26"/>
    <cellStyle name="Hyperlink" xfId="3" builtinId="8"/>
    <cellStyle name="Normal" xfId="0" builtinId="0"/>
    <cellStyle name="Normal 2" xfId="4" xr:uid="{00000000-0005-0000-0000-000003000000}"/>
    <cellStyle name="Normal 4" xfId="5" xr:uid="{00000000-0005-0000-0000-000004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H-1.main.oecd.org\Users1\bachelet_m\Desktop\Policy-tables-2018-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Unemployment Insurance"/>
      <sheetName val="Unemployment Assistance"/>
      <sheetName val="Social Assistance"/>
      <sheetName val="Housing Benefits"/>
      <sheetName val="Family provisions"/>
      <sheetName val="Employment-related provisions"/>
      <sheetName val="Tax treatment of benefits"/>
      <sheetName val="Average wages"/>
      <sheetName val="Sheet2"/>
    </sheetNames>
    <sheetDataSet>
      <sheetData sheetId="0"/>
      <sheetData sheetId="1"/>
      <sheetData sheetId="2"/>
      <sheetData sheetId="3"/>
      <sheetData sheetId="4"/>
      <sheetData sheetId="5"/>
      <sheetData sheetId="6"/>
      <sheetData sheetId="7"/>
      <sheetData sheetId="8">
        <row r="6">
          <cell r="B6">
            <v>48332.192999999999</v>
          </cell>
        </row>
      </sheetData>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oecd.org/els/soc/benefits-and-wages.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oecd.org/els/soc/benefits-and-wages.ht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ecd.org/els/soc/benefits-and-wages.ht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oecd.org/els/soc/benefits-and-wages.htm"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www.oecd.org/els/soc/benefits-and-wages.htm"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oecd.org/els/soc/benefits-and-wages.htm"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www.oecd.org/els/soc/benefits-and-wages.htm"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hyperlink" Target="http://www.oecd.org/els/soc/benefits-and-wages.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1"/>
  <sheetViews>
    <sheetView tabSelected="1" zoomScale="85" zoomScaleNormal="85" workbookViewId="0">
      <selection activeCell="A14" sqref="A14"/>
    </sheetView>
  </sheetViews>
  <sheetFormatPr defaultRowHeight="13.2" x14ac:dyDescent="0.25"/>
  <cols>
    <col min="1" max="1" width="6.88671875" customWidth="1"/>
    <col min="2" max="2" width="10.5546875" customWidth="1"/>
  </cols>
  <sheetData>
    <row r="1" spans="1:26" x14ac:dyDescent="0.25">
      <c r="A1" s="1" t="s">
        <v>0</v>
      </c>
    </row>
    <row r="2" spans="1:26" x14ac:dyDescent="0.25">
      <c r="A2" s="2"/>
    </row>
    <row r="3" spans="1:26" x14ac:dyDescent="0.25">
      <c r="A3" s="532" t="s">
        <v>1</v>
      </c>
      <c r="B3" s="532"/>
      <c r="C3" s="532"/>
      <c r="D3" s="532"/>
      <c r="E3" s="532"/>
      <c r="F3" s="532"/>
      <c r="G3" s="532"/>
      <c r="H3" s="532"/>
      <c r="I3" s="532"/>
      <c r="J3" s="532"/>
      <c r="K3" s="532"/>
      <c r="L3" s="532"/>
      <c r="M3" s="532"/>
      <c r="N3" s="532"/>
      <c r="O3" s="532"/>
      <c r="P3" s="532"/>
      <c r="Q3" s="532"/>
      <c r="R3" s="532"/>
      <c r="S3" s="532"/>
      <c r="T3" s="532"/>
      <c r="U3" s="532"/>
      <c r="V3" s="532"/>
      <c r="W3" s="532"/>
      <c r="X3" s="532"/>
      <c r="Y3" s="532"/>
      <c r="Z3" s="532"/>
    </row>
    <row r="4" spans="1:26" x14ac:dyDescent="0.25">
      <c r="A4" s="532" t="s">
        <v>2</v>
      </c>
      <c r="B4" s="532"/>
      <c r="C4" s="532"/>
      <c r="D4" s="532"/>
      <c r="E4" s="532"/>
      <c r="F4" s="532"/>
      <c r="G4" s="532"/>
      <c r="H4" s="532"/>
      <c r="I4" s="532"/>
      <c r="J4" s="532"/>
      <c r="K4" s="532"/>
      <c r="L4" s="532"/>
      <c r="M4" s="532"/>
      <c r="N4" s="532"/>
      <c r="O4" s="532"/>
      <c r="P4" s="532"/>
      <c r="Q4" s="532"/>
      <c r="R4" s="532"/>
      <c r="S4" s="532"/>
      <c r="T4" s="532"/>
      <c r="U4" s="532"/>
      <c r="V4" s="532"/>
      <c r="W4" s="532"/>
      <c r="X4" s="532"/>
      <c r="Y4" s="532"/>
      <c r="Z4" s="532"/>
    </row>
    <row r="5" spans="1:26" x14ac:dyDescent="0.25">
      <c r="A5" s="532" t="s">
        <v>3</v>
      </c>
      <c r="B5" s="532"/>
      <c r="C5" s="532"/>
      <c r="D5" s="532"/>
      <c r="E5" s="532"/>
      <c r="F5" s="532"/>
      <c r="G5" s="532"/>
      <c r="H5" s="532"/>
      <c r="I5" s="532"/>
      <c r="J5" s="532"/>
      <c r="K5" s="532"/>
      <c r="L5" s="532"/>
      <c r="M5" s="532"/>
      <c r="N5" s="532"/>
      <c r="O5" s="532"/>
      <c r="P5" s="532"/>
      <c r="Q5" s="532"/>
      <c r="R5" s="532"/>
      <c r="S5" s="532"/>
      <c r="T5" s="532"/>
      <c r="U5" s="532"/>
      <c r="V5" s="532"/>
      <c r="W5" s="532"/>
      <c r="X5" s="532"/>
      <c r="Y5" s="532"/>
      <c r="Z5" s="532"/>
    </row>
    <row r="6" spans="1:26" ht="12.75" customHeight="1" x14ac:dyDescent="0.25">
      <c r="A6" s="531" t="s">
        <v>4</v>
      </c>
      <c r="B6" s="531"/>
      <c r="C6" s="531"/>
      <c r="D6" s="531"/>
      <c r="E6" s="531"/>
      <c r="F6" s="531"/>
      <c r="G6" s="531"/>
      <c r="H6" s="531"/>
      <c r="I6" s="531"/>
      <c r="J6" s="531"/>
      <c r="K6" s="531"/>
      <c r="L6" s="531"/>
      <c r="M6" s="531"/>
      <c r="N6" s="531"/>
      <c r="O6" s="531"/>
      <c r="P6" s="531"/>
      <c r="Q6" s="531"/>
      <c r="R6" s="531"/>
      <c r="S6" s="531"/>
      <c r="T6" s="531"/>
      <c r="U6" s="531"/>
      <c r="V6" s="531"/>
      <c r="W6" s="531"/>
      <c r="X6" s="531"/>
      <c r="Y6" s="531"/>
      <c r="Z6" s="531"/>
    </row>
    <row r="7" spans="1:26" x14ac:dyDescent="0.25">
      <c r="A7" s="532" t="s">
        <v>5</v>
      </c>
      <c r="B7" s="532"/>
      <c r="C7" s="532"/>
      <c r="D7" s="532"/>
      <c r="E7" s="532"/>
      <c r="F7" s="532"/>
      <c r="G7" s="532"/>
      <c r="H7" s="532"/>
      <c r="I7" s="532"/>
      <c r="J7" s="532"/>
      <c r="K7" s="532"/>
      <c r="L7" s="532"/>
      <c r="M7" s="532"/>
      <c r="N7" s="532"/>
      <c r="O7" s="532"/>
      <c r="P7" s="532"/>
      <c r="Q7" s="532"/>
      <c r="R7" s="532"/>
      <c r="S7" s="532"/>
      <c r="T7" s="532"/>
      <c r="U7" s="532"/>
      <c r="V7" s="532"/>
      <c r="W7" s="532"/>
      <c r="X7" s="532"/>
      <c r="Y7" s="532"/>
      <c r="Z7" s="532"/>
    </row>
    <row r="8" spans="1:26" ht="12.75" customHeight="1" x14ac:dyDescent="0.25">
      <c r="B8" s="3" t="s">
        <v>6</v>
      </c>
      <c r="C8" s="531" t="s">
        <v>917</v>
      </c>
      <c r="D8" s="531"/>
      <c r="E8" s="531"/>
      <c r="F8" s="531"/>
      <c r="G8" s="531"/>
      <c r="H8" s="531"/>
      <c r="I8" s="531"/>
      <c r="J8" s="531"/>
      <c r="K8" s="531"/>
      <c r="L8" s="531"/>
      <c r="M8" s="531"/>
      <c r="N8" s="531"/>
      <c r="O8" s="531"/>
      <c r="P8" s="531"/>
      <c r="Q8" s="531"/>
      <c r="R8" s="531"/>
      <c r="S8" s="531"/>
      <c r="T8" s="531"/>
      <c r="U8" s="531"/>
      <c r="V8" s="531"/>
      <c r="W8" s="531"/>
      <c r="X8" s="531"/>
      <c r="Y8" s="531"/>
      <c r="Z8" s="531"/>
    </row>
    <row r="9" spans="1:26" ht="12.75" customHeight="1" x14ac:dyDescent="0.25">
      <c r="B9" s="3" t="s">
        <v>7</v>
      </c>
      <c r="C9" s="531" t="s">
        <v>8</v>
      </c>
      <c r="D9" s="531"/>
      <c r="E9" s="531"/>
      <c r="F9" s="531"/>
      <c r="G9" s="531"/>
      <c r="H9" s="531"/>
      <c r="I9" s="531"/>
      <c r="J9" s="531"/>
      <c r="K9" s="531"/>
      <c r="L9" s="531"/>
      <c r="M9" s="531"/>
      <c r="N9" s="531"/>
      <c r="O9" s="531"/>
      <c r="P9" s="531"/>
      <c r="Q9" s="531"/>
      <c r="R9" s="531"/>
      <c r="S9" s="531"/>
      <c r="T9" s="531"/>
      <c r="U9" s="531"/>
      <c r="V9" s="531"/>
      <c r="W9" s="531"/>
      <c r="X9" s="531"/>
      <c r="Y9" s="531"/>
      <c r="Z9" s="531"/>
    </row>
    <row r="11" spans="1:26" x14ac:dyDescent="0.25">
      <c r="A11" s="4" t="s">
        <v>9</v>
      </c>
      <c r="B11" s="5" t="s">
        <v>10</v>
      </c>
    </row>
  </sheetData>
  <mergeCells count="7">
    <mergeCell ref="C9:Z9"/>
    <mergeCell ref="A3:Z3"/>
    <mergeCell ref="A4:Z4"/>
    <mergeCell ref="A5:Z5"/>
    <mergeCell ref="A6:Z6"/>
    <mergeCell ref="A7:Z7"/>
    <mergeCell ref="C8:Z8"/>
  </mergeCells>
  <hyperlinks>
    <hyperlink ref="B11" r:id="rId1" xr:uid="{00000000-0004-0000-0000-000000000000}"/>
  </hyperlinks>
  <pageMargins left="0.7" right="0.7" top="0.75" bottom="0.75" header="0.3" footer="0.3"/>
  <headerFooter>
    <oddFooter>&amp;C_x000D_&amp;1#&amp;"Calibri"&amp;10&amp;K0000FF Restricted Use - À usage restreint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B41"/>
  <sheetViews>
    <sheetView workbookViewId="0">
      <selection activeCell="B10" sqref="B10"/>
    </sheetView>
  </sheetViews>
  <sheetFormatPr defaultRowHeight="13.2" x14ac:dyDescent="0.25"/>
  <sheetData>
    <row r="1" spans="1:2" x14ac:dyDescent="0.25">
      <c r="A1" t="s">
        <v>789</v>
      </c>
      <c r="B1" t="s">
        <v>790</v>
      </c>
    </row>
    <row r="2" spans="1:2" x14ac:dyDescent="0.25">
      <c r="A2" t="s">
        <v>411</v>
      </c>
      <c r="B2">
        <v>84324.371661351674</v>
      </c>
    </row>
    <row r="3" spans="1:2" x14ac:dyDescent="0.25">
      <c r="A3" t="s">
        <v>60</v>
      </c>
      <c r="B3">
        <v>47143.120900716982</v>
      </c>
    </row>
    <row r="4" spans="1:2" x14ac:dyDescent="0.25">
      <c r="A4" t="s">
        <v>307</v>
      </c>
      <c r="B4">
        <v>48425.8799505524</v>
      </c>
    </row>
    <row r="5" spans="1:2" x14ac:dyDescent="0.25">
      <c r="A5" t="s">
        <v>92</v>
      </c>
      <c r="B5">
        <v>13851.452131189219</v>
      </c>
    </row>
    <row r="6" spans="1:2" x14ac:dyDescent="0.25">
      <c r="A6" t="s">
        <v>413</v>
      </c>
      <c r="B6">
        <v>53486.896851384263</v>
      </c>
    </row>
    <row r="7" spans="1:2" x14ac:dyDescent="0.25">
      <c r="A7" t="s">
        <v>87</v>
      </c>
      <c r="B7">
        <v>87308.905544219961</v>
      </c>
    </row>
    <row r="8" spans="1:2" x14ac:dyDescent="0.25">
      <c r="A8" t="s">
        <v>63</v>
      </c>
      <c r="B8">
        <v>9556177.8297272027</v>
      </c>
    </row>
    <row r="9" spans="1:2" x14ac:dyDescent="0.25">
      <c r="A9" t="s">
        <v>791</v>
      </c>
      <c r="B9">
        <v>23023.715907912472</v>
      </c>
    </row>
    <row r="10" spans="1:2" x14ac:dyDescent="0.25">
      <c r="A10" t="s">
        <v>64</v>
      </c>
      <c r="B10">
        <v>375463.71777422912</v>
      </c>
    </row>
    <row r="11" spans="1:2" x14ac:dyDescent="0.25">
      <c r="A11" t="s">
        <v>69</v>
      </c>
      <c r="B11">
        <v>50483.638509479839</v>
      </c>
    </row>
    <row r="12" spans="1:2" x14ac:dyDescent="0.25">
      <c r="A12" t="s">
        <v>65</v>
      </c>
      <c r="B12">
        <v>423939.92380344879</v>
      </c>
    </row>
    <row r="13" spans="1:2" x14ac:dyDescent="0.25">
      <c r="A13" t="s">
        <v>85</v>
      </c>
      <c r="B13">
        <v>26879.551490802045</v>
      </c>
    </row>
    <row r="14" spans="1:2" x14ac:dyDescent="0.25">
      <c r="A14" t="s">
        <v>66</v>
      </c>
      <c r="B14">
        <v>15729.278391453106</v>
      </c>
    </row>
    <row r="15" spans="1:2" x14ac:dyDescent="0.25">
      <c r="A15" t="s">
        <v>67</v>
      </c>
      <c r="B15">
        <v>43913.568122249264</v>
      </c>
    </row>
    <row r="16" spans="1:2" x14ac:dyDescent="0.25">
      <c r="A16" t="s">
        <v>68</v>
      </c>
      <c r="B16">
        <v>39474.295252499796</v>
      </c>
    </row>
    <row r="17" spans="1:2" x14ac:dyDescent="0.25">
      <c r="A17" t="s">
        <v>89</v>
      </c>
      <c r="B17">
        <v>39250.572672590337</v>
      </c>
    </row>
    <row r="18" spans="1:2" x14ac:dyDescent="0.25">
      <c r="A18" t="s">
        <v>70</v>
      </c>
      <c r="B18">
        <v>20871.787986595904</v>
      </c>
    </row>
    <row r="19" spans="1:2" x14ac:dyDescent="0.25">
      <c r="A19" t="s">
        <v>93</v>
      </c>
      <c r="B19">
        <v>93968.578009090488</v>
      </c>
    </row>
    <row r="20" spans="1:2" x14ac:dyDescent="0.25">
      <c r="A20" t="s">
        <v>71</v>
      </c>
      <c r="B20">
        <v>4031276.5221538721</v>
      </c>
    </row>
    <row r="21" spans="1:2" x14ac:dyDescent="0.25">
      <c r="A21" t="s">
        <v>73</v>
      </c>
      <c r="B21">
        <v>47010.731031776937</v>
      </c>
    </row>
    <row r="22" spans="1:2" x14ac:dyDescent="0.25">
      <c r="A22" t="s">
        <v>72</v>
      </c>
      <c r="B22">
        <v>9401306.2199526597</v>
      </c>
    </row>
    <row r="23" spans="1:2" x14ac:dyDescent="0.25">
      <c r="A23" t="s">
        <v>74</v>
      </c>
      <c r="B23">
        <v>153114.90603591222</v>
      </c>
    </row>
    <row r="24" spans="1:2" x14ac:dyDescent="0.25">
      <c r="A24" t="s">
        <v>75</v>
      </c>
      <c r="B24">
        <v>31143.707611061302</v>
      </c>
    </row>
    <row r="25" spans="1:2" x14ac:dyDescent="0.25">
      <c r="A25" t="s">
        <v>76</v>
      </c>
      <c r="B25">
        <v>5246705.3911911473</v>
      </c>
    </row>
    <row r="26" spans="1:2" x14ac:dyDescent="0.25">
      <c r="A26" t="s">
        <v>77</v>
      </c>
      <c r="B26">
        <v>47351770.603870094</v>
      </c>
    </row>
    <row r="27" spans="1:2" x14ac:dyDescent="0.25">
      <c r="A27" t="s">
        <v>95</v>
      </c>
      <c r="B27">
        <v>10989.62567615936</v>
      </c>
    </row>
    <row r="28" spans="1:2" x14ac:dyDescent="0.25">
      <c r="A28" t="s">
        <v>78</v>
      </c>
      <c r="B28">
        <v>59749.897347461156</v>
      </c>
    </row>
    <row r="29" spans="1:2" x14ac:dyDescent="0.25">
      <c r="A29" t="s">
        <v>94</v>
      </c>
      <c r="B29">
        <v>11857.69797988995</v>
      </c>
    </row>
    <row r="30" spans="1:2" x14ac:dyDescent="0.25">
      <c r="A30" t="s">
        <v>255</v>
      </c>
      <c r="B30">
        <v>23331</v>
      </c>
    </row>
    <row r="31" spans="1:2" x14ac:dyDescent="0.25">
      <c r="A31" t="s">
        <v>79</v>
      </c>
      <c r="B31">
        <v>52232.819636033259</v>
      </c>
    </row>
    <row r="32" spans="1:2" x14ac:dyDescent="0.25">
      <c r="A32" t="s">
        <v>80</v>
      </c>
      <c r="B32">
        <v>598064.72039881849</v>
      </c>
    </row>
    <row r="33" spans="1:2" x14ac:dyDescent="0.25">
      <c r="A33" t="s">
        <v>244</v>
      </c>
      <c r="B33">
        <v>59816.531551814754</v>
      </c>
    </row>
    <row r="34" spans="1:2" x14ac:dyDescent="0.25">
      <c r="A34" t="s">
        <v>313</v>
      </c>
      <c r="B34">
        <v>54318.845692573603</v>
      </c>
    </row>
    <row r="35" spans="1:2" x14ac:dyDescent="0.25">
      <c r="A35" t="s">
        <v>82</v>
      </c>
      <c r="B35">
        <v>18160.281254328325</v>
      </c>
    </row>
    <row r="36" spans="1:2" x14ac:dyDescent="0.25">
      <c r="A36" t="s">
        <v>96</v>
      </c>
      <c r="B36">
        <v>41694.060493187819</v>
      </c>
    </row>
    <row r="37" spans="1:2" x14ac:dyDescent="0.25">
      <c r="A37" t="s">
        <v>83</v>
      </c>
      <c r="B37">
        <v>11963.728260422216</v>
      </c>
    </row>
    <row r="38" spans="1:2" x14ac:dyDescent="0.25">
      <c r="A38" t="s">
        <v>84</v>
      </c>
      <c r="B38">
        <v>19730.317675786449</v>
      </c>
    </row>
    <row r="39" spans="1:2" x14ac:dyDescent="0.25">
      <c r="A39" t="s">
        <v>86</v>
      </c>
      <c r="B39">
        <v>449562.39143944497</v>
      </c>
    </row>
    <row r="40" spans="1:2" x14ac:dyDescent="0.25">
      <c r="A40" t="s">
        <v>88</v>
      </c>
      <c r="B40">
        <v>44936.246914033669</v>
      </c>
    </row>
    <row r="41" spans="1:2" x14ac:dyDescent="0.25">
      <c r="A41" t="s">
        <v>421</v>
      </c>
      <c r="B41">
        <v>54395.906050808189</v>
      </c>
    </row>
  </sheetData>
  <pageMargins left="0.7" right="0.7" top="0.75" bottom="0.75" header="0.3" footer="0.3"/>
  <headerFooter>
    <oddFooter>&amp;C_x000D_&amp;1#&amp;"Calibri"&amp;10&amp;K0000FF Restricted Use - À usage restreint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62"/>
  <sheetViews>
    <sheetView zoomScale="90" zoomScaleNormal="90" workbookViewId="0">
      <pane xSplit="1" ySplit="11" topLeftCell="B12" activePane="bottomRight" state="frozen"/>
      <selection pane="topRight" activeCell="B1" sqref="B1"/>
      <selection pane="bottomLeft" activeCell="A12" sqref="A12"/>
      <selection pane="bottomRight" activeCell="F24" sqref="F24"/>
    </sheetView>
  </sheetViews>
  <sheetFormatPr defaultRowHeight="13.2" x14ac:dyDescent="0.25"/>
  <cols>
    <col min="1" max="1" width="14.88671875" customWidth="1"/>
    <col min="2" max="2" width="18" customWidth="1"/>
    <col min="3" max="3" width="19.88671875" customWidth="1"/>
    <col min="4" max="4" width="26.88671875" customWidth="1"/>
    <col min="5" max="5" width="10.6640625" customWidth="1"/>
    <col min="6" max="6" width="16.88671875" customWidth="1"/>
    <col min="7" max="7" width="24.88671875" customWidth="1"/>
    <col min="8" max="9" width="22.88671875" customWidth="1"/>
    <col min="10" max="10" width="14.33203125" customWidth="1"/>
    <col min="11" max="11" width="14.44140625" customWidth="1"/>
    <col min="12" max="12" width="42.109375" customWidth="1"/>
    <col min="13" max="13" width="29.5546875" customWidth="1"/>
    <col min="14" max="15" width="19.88671875" customWidth="1"/>
  </cols>
  <sheetData>
    <row r="1" spans="1:15" ht="17.399999999999999" x14ac:dyDescent="0.3">
      <c r="A1" s="533" t="s">
        <v>11</v>
      </c>
      <c r="B1" s="534"/>
      <c r="C1" s="534"/>
      <c r="D1" s="534"/>
      <c r="E1" s="534"/>
      <c r="F1" s="534"/>
      <c r="G1" s="534"/>
      <c r="H1" s="534"/>
      <c r="I1" s="534"/>
      <c r="J1" s="534"/>
      <c r="K1" s="534"/>
      <c r="L1" s="534"/>
      <c r="M1" s="534"/>
      <c r="N1" s="534"/>
      <c r="O1" s="534"/>
    </row>
    <row r="2" spans="1:15" ht="17.399999999999999" x14ac:dyDescent="0.3">
      <c r="A2" s="533">
        <v>2018</v>
      </c>
      <c r="B2" s="533"/>
      <c r="C2" s="533"/>
      <c r="D2" s="533"/>
      <c r="E2" s="533"/>
      <c r="F2" s="533"/>
      <c r="G2" s="533"/>
      <c r="H2" s="533"/>
      <c r="I2" s="533"/>
      <c r="J2" s="533"/>
      <c r="K2" s="533"/>
      <c r="L2" s="533"/>
      <c r="M2" s="533"/>
      <c r="N2" s="533"/>
      <c r="O2" s="533"/>
    </row>
    <row r="3" spans="1:15" x14ac:dyDescent="0.25">
      <c r="A3" s="535" t="s">
        <v>1384</v>
      </c>
      <c r="B3" s="535"/>
      <c r="C3" s="535"/>
      <c r="D3" s="535"/>
      <c r="E3" s="535"/>
      <c r="F3" s="535"/>
      <c r="G3" s="535"/>
      <c r="H3" s="535"/>
      <c r="I3" s="535"/>
      <c r="J3" s="535"/>
      <c r="K3" s="535"/>
      <c r="L3" s="535"/>
      <c r="M3" s="535"/>
      <c r="N3" s="535"/>
      <c r="O3" s="535"/>
    </row>
    <row r="4" spans="1:15" ht="13.5" customHeight="1" x14ac:dyDescent="0.25"/>
    <row r="5" spans="1:15" ht="1.5" hidden="1" customHeight="1" x14ac:dyDescent="0.25">
      <c r="A5" s="6" t="s">
        <v>9</v>
      </c>
      <c r="B5" s="6" t="s">
        <v>12</v>
      </c>
      <c r="C5" s="6" t="s">
        <v>12</v>
      </c>
      <c r="D5" s="6" t="s">
        <v>12</v>
      </c>
      <c r="E5" s="6" t="s">
        <v>12</v>
      </c>
      <c r="F5" s="6" t="s">
        <v>12</v>
      </c>
      <c r="G5" s="6" t="s">
        <v>12</v>
      </c>
      <c r="H5" s="6" t="s">
        <v>12</v>
      </c>
      <c r="I5" s="6" t="s">
        <v>12</v>
      </c>
      <c r="J5" s="6" t="s">
        <v>13</v>
      </c>
      <c r="K5" s="6" t="s">
        <v>13</v>
      </c>
      <c r="L5" s="6" t="s">
        <v>12</v>
      </c>
      <c r="M5" s="6" t="s">
        <v>12</v>
      </c>
      <c r="N5" s="6" t="s">
        <v>12</v>
      </c>
      <c r="O5" s="6" t="s">
        <v>12</v>
      </c>
    </row>
    <row r="6" spans="1:15" hidden="1" x14ac:dyDescent="0.25">
      <c r="A6" s="7" t="s">
        <v>14</v>
      </c>
      <c r="B6" s="8" t="s">
        <v>15</v>
      </c>
      <c r="C6" s="9" t="s">
        <v>16</v>
      </c>
      <c r="D6" s="9" t="s">
        <v>17</v>
      </c>
      <c r="E6" s="9" t="s">
        <v>18</v>
      </c>
      <c r="F6" s="9" t="s">
        <v>19</v>
      </c>
      <c r="G6" s="10" t="s">
        <v>20</v>
      </c>
      <c r="H6" s="11" t="s">
        <v>21</v>
      </c>
      <c r="I6" s="11" t="s">
        <v>22</v>
      </c>
      <c r="J6" s="11" t="s">
        <v>23</v>
      </c>
      <c r="K6" s="11" t="s">
        <v>24</v>
      </c>
      <c r="L6" s="11" t="s">
        <v>25</v>
      </c>
      <c r="M6" s="11" t="s">
        <v>26</v>
      </c>
      <c r="N6" s="11" t="s">
        <v>27</v>
      </c>
      <c r="O6" s="11" t="s">
        <v>28</v>
      </c>
    </row>
    <row r="7" spans="1:15" x14ac:dyDescent="0.25">
      <c r="A7" s="12"/>
      <c r="B7" s="536" t="s">
        <v>29</v>
      </c>
      <c r="C7" s="538" t="s">
        <v>30</v>
      </c>
      <c r="D7" s="538" t="s">
        <v>31</v>
      </c>
      <c r="E7" s="538" t="s">
        <v>32</v>
      </c>
      <c r="F7" s="540" t="s">
        <v>33</v>
      </c>
      <c r="G7" s="542" t="s">
        <v>34</v>
      </c>
      <c r="H7" s="543"/>
      <c r="I7" s="543"/>
      <c r="J7" s="543"/>
      <c r="K7" s="543"/>
      <c r="L7" s="543"/>
      <c r="M7" s="544" t="s">
        <v>35</v>
      </c>
      <c r="N7" s="538"/>
      <c r="O7" s="540"/>
    </row>
    <row r="8" spans="1:15" ht="30" customHeight="1" x14ac:dyDescent="0.25">
      <c r="A8" s="12"/>
      <c r="B8" s="537"/>
      <c r="C8" s="539"/>
      <c r="D8" s="539"/>
      <c r="E8" s="539"/>
      <c r="F8" s="541"/>
      <c r="G8" s="536" t="s">
        <v>36</v>
      </c>
      <c r="H8" s="540" t="s">
        <v>37</v>
      </c>
      <c r="I8" s="540" t="s">
        <v>1003</v>
      </c>
      <c r="J8" s="13" t="s">
        <v>38</v>
      </c>
      <c r="K8" s="14" t="s">
        <v>39</v>
      </c>
      <c r="L8" s="536" t="s">
        <v>40</v>
      </c>
      <c r="M8" s="545"/>
      <c r="N8" s="539"/>
      <c r="O8" s="541"/>
    </row>
    <row r="9" spans="1:15" x14ac:dyDescent="0.25">
      <c r="A9" s="12"/>
      <c r="B9" s="537"/>
      <c r="C9" s="539"/>
      <c r="D9" s="539"/>
      <c r="E9" s="539"/>
      <c r="F9" s="541"/>
      <c r="G9" s="537"/>
      <c r="H9" s="541"/>
      <c r="I9" s="541"/>
      <c r="J9" s="15" t="s">
        <v>41</v>
      </c>
      <c r="K9" s="15" t="s">
        <v>41</v>
      </c>
      <c r="L9" s="537"/>
      <c r="M9" s="428" t="s">
        <v>813</v>
      </c>
      <c r="N9" s="423" t="s">
        <v>43</v>
      </c>
      <c r="O9" s="424" t="s">
        <v>44</v>
      </c>
    </row>
    <row r="10" spans="1:15" x14ac:dyDescent="0.25">
      <c r="A10" s="17"/>
      <c r="B10" s="18" t="s">
        <v>45</v>
      </c>
      <c r="C10" s="19" t="s">
        <v>46</v>
      </c>
      <c r="D10" s="19" t="s">
        <v>47</v>
      </c>
      <c r="E10" s="19" t="s">
        <v>48</v>
      </c>
      <c r="F10" s="20" t="s">
        <v>49</v>
      </c>
      <c r="G10" s="18" t="s">
        <v>50</v>
      </c>
      <c r="H10" s="20" t="s">
        <v>51</v>
      </c>
      <c r="I10" s="20" t="s">
        <v>52</v>
      </c>
      <c r="J10" s="20" t="s">
        <v>53</v>
      </c>
      <c r="K10" s="21" t="s">
        <v>54</v>
      </c>
      <c r="L10" s="427" t="s">
        <v>55</v>
      </c>
      <c r="M10" s="429" t="s">
        <v>56</v>
      </c>
      <c r="N10" s="21" t="s">
        <v>57</v>
      </c>
      <c r="O10" s="21" t="s">
        <v>58</v>
      </c>
    </row>
    <row r="11" spans="1:15" x14ac:dyDescent="0.25">
      <c r="A11" s="22" t="s">
        <v>59</v>
      </c>
      <c r="B11" s="23"/>
      <c r="C11" s="24"/>
      <c r="D11" s="24"/>
      <c r="E11" s="24"/>
      <c r="F11" s="24"/>
      <c r="G11" s="23"/>
      <c r="H11" s="25"/>
      <c r="I11" s="25"/>
      <c r="J11" s="24"/>
      <c r="K11" s="24"/>
      <c r="L11" s="23"/>
      <c r="M11" s="430"/>
      <c r="N11" s="24"/>
      <c r="O11" s="25"/>
    </row>
    <row r="12" spans="1:15" ht="54.75" customHeight="1" x14ac:dyDescent="0.25">
      <c r="A12" s="26" t="s">
        <v>60</v>
      </c>
      <c r="B12" s="63" t="s">
        <v>106</v>
      </c>
      <c r="C12" s="57" t="str">
        <f>"C above EUR 438.05 per month ("&amp;TEXT(100*438.05*12/'Average wages'!B5,0)&amp;"% of AW; Geringfügigkeitsgrenze 2018)"</f>
        <v>C above EUR 438.05 per month (11% of AW; Geringfügigkeitsgrenze 2018)</v>
      </c>
      <c r="D12" s="57" t="s">
        <v>107</v>
      </c>
      <c r="E12" s="57">
        <v>0</v>
      </c>
      <c r="F12" s="57">
        <v>9</v>
      </c>
      <c r="G12" s="548">
        <v>0.55000000000000004</v>
      </c>
      <c r="H12" s="549"/>
      <c r="I12" s="59" t="s">
        <v>108</v>
      </c>
      <c r="J12" s="64" t="s">
        <v>118</v>
      </c>
      <c r="K12" s="27">
        <f>54.49*30*12/'Average wages'!B5</f>
        <v>0.41610312650517933</v>
      </c>
      <c r="L12" s="58" t="str">
        <f>"No reduction for earnings up to EUR 438.05 per month ("&amp;TEXT(100*438.05*12/'Average wages'!B5,0)&amp;"% of AW; Geringfügigkeitsgrenze 2018), with higher earnings total benefit withdrawal"</f>
        <v>No reduction for earnings up to EUR 438.05 per month (11% of AW; Geringfügigkeitsgrenze 2018), with higher earnings total benefit withdrawal</v>
      </c>
      <c r="M12" s="431" t="s">
        <v>1096</v>
      </c>
      <c r="N12" s="65" t="s">
        <v>1110</v>
      </c>
      <c r="O12" s="66" t="s">
        <v>1121</v>
      </c>
    </row>
    <row r="13" spans="1:15" ht="91.2" x14ac:dyDescent="0.25">
      <c r="A13" s="26" t="s">
        <v>61</v>
      </c>
      <c r="B13" s="63" t="s">
        <v>110</v>
      </c>
      <c r="C13" s="404" t="s">
        <v>111</v>
      </c>
      <c r="D13" s="404" t="s">
        <v>112</v>
      </c>
      <c r="E13" s="404">
        <v>0</v>
      </c>
      <c r="F13" s="404" t="s">
        <v>113</v>
      </c>
      <c r="G13" s="475" t="s">
        <v>114</v>
      </c>
      <c r="H13" s="476" t="str">
        <f>"From month 49 onwards (3rd period): Flat rate of EUR 39.69/day ("&amp;TEXT(39.69*6*52/'Average wages'!B6,"0%")&amp;" of AW)"</f>
        <v>From month 49 onwards (3rd period): Flat rate of EUR 39.69/day (26% of AW)</v>
      </c>
      <c r="I13" s="405" t="s">
        <v>115</v>
      </c>
      <c r="J13" s="469">
        <f>39.69*26*12/'Average wages'!B6</f>
        <v>0.25571615864584291</v>
      </c>
      <c r="K13" s="469">
        <f>2619.09 *12/'Average wages'!B6</f>
        <v>0.64901412286348115</v>
      </c>
      <c r="L13" s="475" t="s">
        <v>1084</v>
      </c>
      <c r="M13" s="431" t="s">
        <v>116</v>
      </c>
      <c r="N13" s="65" t="s">
        <v>1111</v>
      </c>
      <c r="O13" s="405" t="s">
        <v>109</v>
      </c>
    </row>
    <row r="14" spans="1:15" ht="22.8" x14ac:dyDescent="0.25">
      <c r="A14" s="26" t="s">
        <v>62</v>
      </c>
      <c r="B14" s="60" t="s">
        <v>117</v>
      </c>
      <c r="C14" s="404" t="s">
        <v>111</v>
      </c>
      <c r="D14" s="65" t="s">
        <v>173</v>
      </c>
      <c r="E14" s="65">
        <v>14</v>
      </c>
      <c r="F14" s="65">
        <v>9</v>
      </c>
      <c r="G14" s="548">
        <v>0.55000000000000004</v>
      </c>
      <c r="H14" s="549"/>
      <c r="I14" s="405" t="s">
        <v>115</v>
      </c>
      <c r="J14" s="469" t="s">
        <v>118</v>
      </c>
      <c r="K14" s="469">
        <f>514*52/'Average wages'!B7</f>
        <v>0.49971117364061979</v>
      </c>
      <c r="L14" s="468" t="s">
        <v>174</v>
      </c>
      <c r="M14" s="432" t="s">
        <v>109</v>
      </c>
      <c r="N14" s="404" t="s">
        <v>1110</v>
      </c>
      <c r="O14" s="405" t="s">
        <v>109</v>
      </c>
    </row>
    <row r="15" spans="1:15" ht="45.6" x14ac:dyDescent="0.25">
      <c r="A15" s="26" t="s">
        <v>63</v>
      </c>
      <c r="B15" s="60" t="s">
        <v>175</v>
      </c>
      <c r="C15" s="57" t="s">
        <v>176</v>
      </c>
      <c r="D15" s="57" t="s">
        <v>177</v>
      </c>
      <c r="E15" s="57">
        <v>0</v>
      </c>
      <c r="F15" s="57" t="s">
        <v>178</v>
      </c>
      <c r="G15" s="58" t="s">
        <v>179</v>
      </c>
      <c r="H15" s="84" t="s">
        <v>180</v>
      </c>
      <c r="I15" s="59" t="s">
        <v>115</v>
      </c>
      <c r="J15" s="484">
        <v>0.10777692935593577</v>
      </c>
      <c r="K15" s="484">
        <v>0.25596861737572979</v>
      </c>
      <c r="L15" s="58" t="s">
        <v>130</v>
      </c>
      <c r="M15" s="432" t="s">
        <v>109</v>
      </c>
      <c r="N15" s="404" t="s">
        <v>109</v>
      </c>
      <c r="O15" s="66" t="s">
        <v>109</v>
      </c>
    </row>
    <row r="16" spans="1:15" ht="22.8" x14ac:dyDescent="0.25">
      <c r="A16" s="26" t="s">
        <v>64</v>
      </c>
      <c r="B16" s="60" t="s">
        <v>181</v>
      </c>
      <c r="C16" s="57" t="s">
        <v>111</v>
      </c>
      <c r="D16" s="57" t="s">
        <v>120</v>
      </c>
      <c r="E16" s="57">
        <v>0</v>
      </c>
      <c r="F16" s="57">
        <v>5</v>
      </c>
      <c r="G16" s="67" t="s">
        <v>121</v>
      </c>
      <c r="H16" s="355" t="s">
        <v>122</v>
      </c>
      <c r="I16" s="59" t="s">
        <v>108</v>
      </c>
      <c r="J16" s="27" t="s">
        <v>118</v>
      </c>
      <c r="K16" s="27">
        <f>0.58*28761*12/'Average wages'!B9</f>
        <v>0.53314488331031906</v>
      </c>
      <c r="L16" s="426" t="s">
        <v>123</v>
      </c>
      <c r="M16" s="432" t="s">
        <v>1383</v>
      </c>
      <c r="N16" s="404" t="s">
        <v>109</v>
      </c>
      <c r="O16" s="405" t="s">
        <v>109</v>
      </c>
    </row>
    <row r="17" spans="1:15" ht="231.6" customHeight="1" x14ac:dyDescent="0.25">
      <c r="A17" s="26" t="s">
        <v>65</v>
      </c>
      <c r="B17" s="60" t="s">
        <v>982</v>
      </c>
      <c r="C17" s="57" t="s">
        <v>124</v>
      </c>
      <c r="D17" s="57" t="str">
        <f>"E: Earnings from employment of DKK 228,348 ("&amp;TEXT(100*228348/'Average wages'!B10,0)&amp;"% of AW) within the last three years and minimum of 12 months of employment
C: Payment of membership fee"</f>
        <v>E: Earnings from employment of DKK 228,348 (54% of AW) within the last three years and minimum of 12 months of employment
C: Payment of membership fee</v>
      </c>
      <c r="E17" s="57">
        <v>0</v>
      </c>
      <c r="F17" s="57" t="s">
        <v>983</v>
      </c>
      <c r="G17" s="548">
        <v>0.9</v>
      </c>
      <c r="H17" s="549"/>
      <c r="I17" s="59" t="s">
        <v>125</v>
      </c>
      <c r="J17" s="27" t="s">
        <v>118</v>
      </c>
      <c r="K17" s="27">
        <f xml:space="preserve"> 223596/'Average wages'!B10</f>
        <v>0.5274237868280266</v>
      </c>
      <c r="L17" s="426" t="s">
        <v>1044</v>
      </c>
      <c r="M17" s="432" t="s">
        <v>1097</v>
      </c>
      <c r="N17" s="404" t="s">
        <v>109</v>
      </c>
      <c r="O17" s="405" t="s">
        <v>109</v>
      </c>
    </row>
    <row r="18" spans="1:15" ht="34.200000000000003" x14ac:dyDescent="0.25">
      <c r="A18" s="26" t="s">
        <v>66</v>
      </c>
      <c r="B18" s="63" t="s">
        <v>126</v>
      </c>
      <c r="C18" s="57" t="s">
        <v>111</v>
      </c>
      <c r="D18" s="57" t="s">
        <v>127</v>
      </c>
      <c r="E18" s="57">
        <v>7</v>
      </c>
      <c r="F18" s="57">
        <v>12</v>
      </c>
      <c r="G18" s="67" t="s">
        <v>128</v>
      </c>
      <c r="H18" s="355" t="s">
        <v>129</v>
      </c>
      <c r="I18" s="405" t="s">
        <v>1083</v>
      </c>
      <c r="J18" s="484">
        <v>0.18</v>
      </c>
      <c r="K18" s="484">
        <v>1.07</v>
      </c>
      <c r="L18" s="426" t="s">
        <v>130</v>
      </c>
      <c r="M18" s="432" t="s">
        <v>1098</v>
      </c>
      <c r="N18" s="404" t="s">
        <v>109</v>
      </c>
      <c r="O18" s="405" t="s">
        <v>109</v>
      </c>
    </row>
    <row r="19" spans="1:15" ht="68.400000000000006" x14ac:dyDescent="0.25">
      <c r="A19" s="78" t="s">
        <v>67</v>
      </c>
      <c r="B19" s="79" t="s">
        <v>906</v>
      </c>
      <c r="C19" s="80" t="s">
        <v>182</v>
      </c>
      <c r="D19" s="81" t="s">
        <v>907</v>
      </c>
      <c r="E19" s="80">
        <v>5</v>
      </c>
      <c r="F19" s="80">
        <v>18.600000000000001</v>
      </c>
      <c r="G19" s="550" t="str">
        <f>"Basic flat-rate benefit: EUR 32.40 per day ("&amp;TEXT(32.4*5*52/'Average wages'!B12,"0%")&amp;" of AW)
Earnings-related benefit: 45% of daily reference earnings above basic benefit and up to EUR 143.16 per day ("&amp;TEXT(143.16*5*52/'Average wages'!B12,"0%")&amp;" % of AW), plus 20% of daily reference earnings in excess of this amount"</f>
        <v>Basic flat-rate benefit: EUR 32.40 per day (19% of AW)
Earnings-related benefit: 45% of daily reference earnings above basic benefit and up to EUR 143.16 per day (85% % of AW), plus 20% of daily reference earnings in excess of this amount</v>
      </c>
      <c r="H19" s="551"/>
      <c r="I19" s="82" t="s">
        <v>183</v>
      </c>
      <c r="J19" s="485">
        <v>0.19</v>
      </c>
      <c r="K19" s="84" t="s">
        <v>118</v>
      </c>
      <c r="L19" s="425" t="str">
        <f xml:space="preserve"> "For part-time work (&lt; 80% of full-time): benefit reduced by 50% of current earnings exceeding EUR 300 per month ("&amp;TEXT(300*12/'Average wages'!B12,"0%")&amp;" of AW); total income (benefit + earnings) cannot exceed 100% of reference earnings"</f>
        <v>For part-time work (&lt; 80% of full-time): benefit reduced by 50% of current earnings exceeding EUR 300 per month (8% of AW); total income (benefit + earnings) cannot exceed 100% of reference earnings</v>
      </c>
      <c r="M19" s="433" t="s">
        <v>1099</v>
      </c>
      <c r="N19" s="489" t="s">
        <v>908</v>
      </c>
      <c r="O19" s="82" t="s">
        <v>1122</v>
      </c>
    </row>
    <row r="20" spans="1:15" ht="48" customHeight="1" x14ac:dyDescent="0.25">
      <c r="A20" s="26" t="s">
        <v>68</v>
      </c>
      <c r="B20" s="71" t="s">
        <v>210</v>
      </c>
      <c r="C20" s="53" t="s">
        <v>111</v>
      </c>
      <c r="D20" s="53" t="s">
        <v>1022</v>
      </c>
      <c r="E20" s="53">
        <v>7</v>
      </c>
      <c r="F20" s="53">
        <v>24</v>
      </c>
      <c r="G20" s="548" t="s">
        <v>131</v>
      </c>
      <c r="H20" s="549"/>
      <c r="I20" s="55" t="s">
        <v>115</v>
      </c>
      <c r="J20" s="486">
        <v>0.2661235604791371</v>
      </c>
      <c r="K20" s="28">
        <f>0.57*13244*12/'Average wages'!B13</f>
        <v>2.2948847958029917</v>
      </c>
      <c r="L20" s="69" t="s">
        <v>132</v>
      </c>
      <c r="M20" s="434" t="s">
        <v>1100</v>
      </c>
      <c r="N20" s="53" t="s">
        <v>109</v>
      </c>
      <c r="O20" s="410" t="s">
        <v>109</v>
      </c>
    </row>
    <row r="21" spans="1:15" ht="57" x14ac:dyDescent="0.25">
      <c r="A21" s="26" t="s">
        <v>69</v>
      </c>
      <c r="B21" s="72" t="s">
        <v>211</v>
      </c>
      <c r="C21" s="57" t="s">
        <v>111</v>
      </c>
      <c r="D21" s="57" t="str">
        <f>"E: 12 months
C: 12 months in last 2 years (Marginally employed - &lt;EUR450/month, &lt;"&amp;TEXT(450*12/'Average wages'!B14,"0%")&amp;" of AW - are contribution and insurance free)"</f>
        <v>E: 12 months
C: 12 months in last 2 years (Marginally employed - &lt;EUR450/month, &lt;11% of AW - are contribution and insurance free)</v>
      </c>
      <c r="E21" s="57">
        <v>0</v>
      </c>
      <c r="F21" s="57">
        <v>12</v>
      </c>
      <c r="G21" s="548">
        <v>0.6</v>
      </c>
      <c r="H21" s="549"/>
      <c r="I21" s="59" t="s">
        <v>108</v>
      </c>
      <c r="J21" s="27" t="s">
        <v>118</v>
      </c>
      <c r="K21" s="27">
        <f>0.6*6500*12/'Average wages'!B14</f>
        <v>0.92703302261408671</v>
      </c>
      <c r="L21" s="426" t="str">
        <f>"Work income from up to15 hours per week disregarded up to EUR165 net income/month ("&amp;TEXT(100*165*12/'Average wages'!B14,0)&amp;"% of AW), 100% withdrawal rate above this level, total loss of benefit if working 15 hours or more per week"</f>
        <v>Work income from up to15 hours per week disregarded up to EUR165 net income/month (4% of AW), 100% withdrawal rate above this level, total loss of benefit if working 15 hours or more per week</v>
      </c>
      <c r="M21" s="432" t="s">
        <v>818</v>
      </c>
      <c r="N21" s="404" t="s">
        <v>1112</v>
      </c>
      <c r="O21" s="405" t="s">
        <v>109</v>
      </c>
    </row>
    <row r="22" spans="1:15" ht="63.75" customHeight="1" x14ac:dyDescent="0.25">
      <c r="A22" s="26" t="s">
        <v>70</v>
      </c>
      <c r="B22" s="61" t="s">
        <v>133</v>
      </c>
      <c r="C22" s="53" t="s">
        <v>111</v>
      </c>
      <c r="D22" s="53" t="s">
        <v>134</v>
      </c>
      <c r="E22" s="53">
        <v>6</v>
      </c>
      <c r="F22" s="53">
        <v>12</v>
      </c>
      <c r="G22" s="552" t="str">
        <f>"Flat rate of EUR 360/month ("&amp;TEXT(360*12/'Average wages'!B15,"0%")&amp;" of AW) for prior full-time employed (lower for part-time with low income)"</f>
        <v>Flat rate of EUR 360/month (21% of AW) for prior full-time employed (lower for part-time with low income)</v>
      </c>
      <c r="H22" s="553"/>
      <c r="I22" s="55" t="s">
        <v>109</v>
      </c>
      <c r="J22" s="28" t="s">
        <v>109</v>
      </c>
      <c r="K22" s="28" t="str">
        <f>"Flat rate of "&amp;TEXT(360*12/'Average wages'!B15,"0%")</f>
        <v>Flat rate of 21%</v>
      </c>
      <c r="L22" s="471" t="s">
        <v>130</v>
      </c>
      <c r="M22" s="432" t="s">
        <v>1101</v>
      </c>
      <c r="N22" s="53" t="s">
        <v>1113</v>
      </c>
      <c r="O22" s="410" t="s">
        <v>109</v>
      </c>
    </row>
    <row r="23" spans="1:15" ht="22.8" x14ac:dyDescent="0.25">
      <c r="A23" s="26" t="s">
        <v>71</v>
      </c>
      <c r="B23" s="63" t="s">
        <v>135</v>
      </c>
      <c r="C23" s="57" t="s">
        <v>111</v>
      </c>
      <c r="D23" s="57" t="s">
        <v>136</v>
      </c>
      <c r="E23" s="57">
        <v>0</v>
      </c>
      <c r="F23" s="57" t="s">
        <v>137</v>
      </c>
      <c r="G23" s="548">
        <v>0.6</v>
      </c>
      <c r="H23" s="549"/>
      <c r="I23" s="59" t="s">
        <v>115</v>
      </c>
      <c r="J23" s="27">
        <f>0.6*138000*12/'Average wages'!B16</f>
        <v>0.24647279702587335</v>
      </c>
      <c r="K23" s="27">
        <f>138000*12/'Average wages'!B16</f>
        <v>0.4107879950431223</v>
      </c>
      <c r="L23" s="426" t="s">
        <v>138</v>
      </c>
      <c r="M23" s="432" t="s">
        <v>109</v>
      </c>
      <c r="N23" s="404" t="s">
        <v>109</v>
      </c>
      <c r="O23" s="405" t="s">
        <v>109</v>
      </c>
    </row>
    <row r="24" spans="1:15" ht="34.200000000000003" x14ac:dyDescent="0.25">
      <c r="A24" s="26" t="s">
        <v>72</v>
      </c>
      <c r="B24" s="68" t="s">
        <v>139</v>
      </c>
      <c r="C24" s="53" t="s">
        <v>111</v>
      </c>
      <c r="D24" s="53" t="s">
        <v>140</v>
      </c>
      <c r="E24" s="53">
        <v>0</v>
      </c>
      <c r="F24" s="53">
        <v>30</v>
      </c>
      <c r="G24" s="480" t="s">
        <v>838</v>
      </c>
      <c r="H24" s="481" t="s">
        <v>839</v>
      </c>
      <c r="I24" s="55" t="s">
        <v>115</v>
      </c>
      <c r="J24" s="486">
        <v>7.0000000000000007E-2</v>
      </c>
      <c r="K24" s="486">
        <v>0.46</v>
      </c>
      <c r="L24" s="69" t="s">
        <v>184</v>
      </c>
      <c r="M24" s="434" t="s">
        <v>109</v>
      </c>
      <c r="N24" s="490" t="s">
        <v>1114</v>
      </c>
      <c r="O24" s="410" t="s">
        <v>109</v>
      </c>
    </row>
    <row r="25" spans="1:15" ht="79.8" x14ac:dyDescent="0.25">
      <c r="A25" s="26" t="s">
        <v>73</v>
      </c>
      <c r="B25" s="72" t="s">
        <v>141</v>
      </c>
      <c r="C25" s="57" t="s">
        <v>111</v>
      </c>
      <c r="D25" s="57" t="s">
        <v>142</v>
      </c>
      <c r="E25" s="57">
        <v>3</v>
      </c>
      <c r="F25" s="57">
        <v>9</v>
      </c>
      <c r="G25" s="552" t="str">
        <f>"Flat rate depending on average weekly earnings in relevant tax year, for highest income group flat rate of "&amp;TEXT(193*52*100/'Average wages'!B18,0)&amp;"% of AW."</f>
        <v>Flat rate depending on average weekly earnings in relevant tax year, for highest income group flat rate of 21% of AW.</v>
      </c>
      <c r="H25" s="553"/>
      <c r="I25" s="59" t="s">
        <v>109</v>
      </c>
      <c r="J25" s="27">
        <f>86.7*52/'Average wages'!B18</f>
        <v>9.5901508039782327E-2</v>
      </c>
      <c r="K25" s="27">
        <f>193*52/'Average wages'!B18</f>
        <v>0.2134831724530333</v>
      </c>
      <c r="L25" s="426" t="s">
        <v>918</v>
      </c>
      <c r="M25" s="432" t="s">
        <v>109</v>
      </c>
      <c r="N25" s="404" t="s">
        <v>1115</v>
      </c>
      <c r="O25" s="405" t="s">
        <v>109</v>
      </c>
    </row>
    <row r="26" spans="1:15" ht="118.2" customHeight="1" x14ac:dyDescent="0.25">
      <c r="A26" s="26" t="s">
        <v>74</v>
      </c>
      <c r="B26" s="71" t="s">
        <v>143</v>
      </c>
      <c r="C26" s="53" t="s">
        <v>111</v>
      </c>
      <c r="D26" s="53" t="s">
        <v>144</v>
      </c>
      <c r="E26" s="53">
        <v>5</v>
      </c>
      <c r="F26" s="53">
        <v>6</v>
      </c>
      <c r="G26" s="548" t="s">
        <v>1073</v>
      </c>
      <c r="H26" s="549"/>
      <c r="I26" s="55" t="s">
        <v>115</v>
      </c>
      <c r="J26" s="28" t="s">
        <v>118</v>
      </c>
      <c r="K26" s="28" t="str">
        <f>""&amp;TEXT(100*396.25*25*12/'Average wages'!B19,0)&amp;"% (based on 25 working days per month)"</f>
        <v>78% (based on 25 working days per month)</v>
      </c>
      <c r="L26" s="69" t="s">
        <v>1085</v>
      </c>
      <c r="M26" s="434" t="s">
        <v>1102</v>
      </c>
      <c r="N26" s="53" t="s">
        <v>1116</v>
      </c>
      <c r="O26" s="410" t="s">
        <v>109</v>
      </c>
    </row>
    <row r="27" spans="1:15" ht="114" x14ac:dyDescent="0.25">
      <c r="A27" s="26" t="s">
        <v>75</v>
      </c>
      <c r="B27" s="60" t="s">
        <v>1047</v>
      </c>
      <c r="C27" s="57" t="s">
        <v>111</v>
      </c>
      <c r="D27" s="57" t="s">
        <v>1046</v>
      </c>
      <c r="E27" s="57">
        <v>8</v>
      </c>
      <c r="F27" s="57">
        <v>24</v>
      </c>
      <c r="G27" s="58" t="str">
        <f>"Until month 3: 75% for earnings below EUR 1195/month ("&amp;TEXT(1195*12/'Average wages'!B20,"0%")&amp;" of AW), plus 25% of the earnings above this threshold"</f>
        <v>Until month 3: 75% for earnings below EUR 1195/month (46% of AW), plus 25% of the earnings above this threshold</v>
      </c>
      <c r="H27" s="84" t="s">
        <v>1074</v>
      </c>
      <c r="I27" s="59" t="s">
        <v>115</v>
      </c>
      <c r="J27" s="27" t="s">
        <v>118</v>
      </c>
      <c r="K27" s="27">
        <f>1300*12/'Average wages'!B20</f>
        <v>0.50090375220641203</v>
      </c>
      <c r="L27" s="58" t="s">
        <v>1086</v>
      </c>
      <c r="M27" s="432" t="s">
        <v>109</v>
      </c>
      <c r="N27" s="404" t="s">
        <v>109</v>
      </c>
      <c r="O27" s="405" t="s">
        <v>109</v>
      </c>
    </row>
    <row r="28" spans="1:15" ht="136.80000000000001" x14ac:dyDescent="0.25">
      <c r="A28" s="26" t="s">
        <v>76</v>
      </c>
      <c r="B28" s="68" t="s">
        <v>185</v>
      </c>
      <c r="C28" s="53" t="s">
        <v>111</v>
      </c>
      <c r="D28" s="53" t="s">
        <v>146</v>
      </c>
      <c r="E28" s="53">
        <v>7</v>
      </c>
      <c r="F28" s="53">
        <v>9</v>
      </c>
      <c r="G28" s="548" t="s">
        <v>1075</v>
      </c>
      <c r="H28" s="549"/>
      <c r="I28" s="55" t="s">
        <v>115</v>
      </c>
      <c r="J28" s="28">
        <f>0.8*365*2470/'Average wages'!B21</f>
        <v>0.13746531322511679</v>
      </c>
      <c r="K28" s="28">
        <f>0.5*14910*365/'Average wages'!B21</f>
        <v>0.51862546057350489</v>
      </c>
      <c r="L28" s="456" t="s">
        <v>935</v>
      </c>
      <c r="M28" s="53" t="s">
        <v>1103</v>
      </c>
      <c r="N28" s="53" t="s">
        <v>109</v>
      </c>
      <c r="O28" s="410" t="s">
        <v>1123</v>
      </c>
    </row>
    <row r="29" spans="1:15" ht="45.6" x14ac:dyDescent="0.25">
      <c r="A29" s="26" t="s">
        <v>77</v>
      </c>
      <c r="B29" s="60" t="s">
        <v>186</v>
      </c>
      <c r="C29" s="57" t="s">
        <v>111</v>
      </c>
      <c r="D29" s="57" t="s">
        <v>147</v>
      </c>
      <c r="E29" s="57">
        <v>7</v>
      </c>
      <c r="F29" s="57">
        <v>8</v>
      </c>
      <c r="G29" s="554">
        <v>0.5</v>
      </c>
      <c r="H29" s="555"/>
      <c r="I29" s="59" t="s">
        <v>115</v>
      </c>
      <c r="J29" s="484">
        <v>0.42</v>
      </c>
      <c r="K29" s="484">
        <v>0.42</v>
      </c>
      <c r="L29" s="58" t="s">
        <v>187</v>
      </c>
      <c r="M29" s="432" t="s">
        <v>1104</v>
      </c>
      <c r="N29" s="404" t="s">
        <v>109</v>
      </c>
      <c r="O29" s="405" t="s">
        <v>109</v>
      </c>
    </row>
    <row r="30" spans="1:15" ht="114" x14ac:dyDescent="0.25">
      <c r="A30" s="26" t="s">
        <v>94</v>
      </c>
      <c r="B30" s="60" t="s">
        <v>208</v>
      </c>
      <c r="C30" s="57" t="s">
        <v>111</v>
      </c>
      <c r="D30" s="57" t="s">
        <v>780</v>
      </c>
      <c r="E30" s="57">
        <v>0</v>
      </c>
      <c r="F30" s="57">
        <v>9</v>
      </c>
      <c r="G30" s="468" t="s">
        <v>1076</v>
      </c>
      <c r="H30" s="406" t="s">
        <v>1077</v>
      </c>
      <c r="I30" s="59" t="s">
        <v>115</v>
      </c>
      <c r="J30" s="27" t="s">
        <v>118</v>
      </c>
      <c r="K30" s="27" t="s">
        <v>118</v>
      </c>
      <c r="L30" s="468" t="s">
        <v>130</v>
      </c>
      <c r="M30" s="432" t="s">
        <v>1078</v>
      </c>
      <c r="N30" s="404" t="s">
        <v>109</v>
      </c>
      <c r="O30" s="405" t="s">
        <v>109</v>
      </c>
    </row>
    <row r="31" spans="1:15" ht="68.400000000000006" x14ac:dyDescent="0.25">
      <c r="A31" s="32" t="s">
        <v>95</v>
      </c>
      <c r="B31" s="63" t="s">
        <v>168</v>
      </c>
      <c r="C31" s="404" t="s">
        <v>111</v>
      </c>
      <c r="D31" s="404" t="s">
        <v>888</v>
      </c>
      <c r="E31" s="404" t="s">
        <v>1070</v>
      </c>
      <c r="F31" s="404">
        <v>9</v>
      </c>
      <c r="G31" s="482" t="s">
        <v>1080</v>
      </c>
      <c r="H31" s="483" t="s">
        <v>1079</v>
      </c>
      <c r="I31" s="405" t="s">
        <v>1083</v>
      </c>
      <c r="J31" s="484">
        <v>0.13</v>
      </c>
      <c r="K31" s="484">
        <v>0.7</v>
      </c>
      <c r="L31" s="451" t="s">
        <v>130</v>
      </c>
      <c r="M31" s="432" t="s">
        <v>1105</v>
      </c>
      <c r="N31" s="404" t="s">
        <v>109</v>
      </c>
      <c r="O31" s="405" t="s">
        <v>109</v>
      </c>
    </row>
    <row r="32" spans="1:15" ht="79.8" x14ac:dyDescent="0.25">
      <c r="A32" s="452" t="s">
        <v>78</v>
      </c>
      <c r="B32" s="62" t="s">
        <v>942</v>
      </c>
      <c r="C32" s="53" t="s">
        <v>111</v>
      </c>
      <c r="D32" s="53" t="s">
        <v>148</v>
      </c>
      <c r="E32" s="53">
        <v>0</v>
      </c>
      <c r="F32" s="53">
        <v>12</v>
      </c>
      <c r="G32" s="546">
        <v>0.8</v>
      </c>
      <c r="H32" s="547"/>
      <c r="I32" s="55" t="s">
        <v>115</v>
      </c>
      <c r="J32" s="28" t="s">
        <v>118</v>
      </c>
      <c r="K32" s="486">
        <v>1.0034778746368647</v>
      </c>
      <c r="L32" s="54" t="s">
        <v>188</v>
      </c>
      <c r="M32" s="432" t="s">
        <v>1106</v>
      </c>
      <c r="N32" s="53" t="s">
        <v>1117</v>
      </c>
      <c r="O32" s="410" t="s">
        <v>109</v>
      </c>
    </row>
    <row r="33" spans="1:15" ht="68.400000000000006" x14ac:dyDescent="0.25">
      <c r="A33" s="26" t="s">
        <v>79</v>
      </c>
      <c r="B33" s="63" t="s">
        <v>1031</v>
      </c>
      <c r="C33" s="65" t="s">
        <v>111</v>
      </c>
      <c r="D33" s="65" t="s">
        <v>149</v>
      </c>
      <c r="E33" s="65">
        <v>0</v>
      </c>
      <c r="F33" s="65">
        <v>28</v>
      </c>
      <c r="G33" s="67" t="s">
        <v>150</v>
      </c>
      <c r="H33" s="355" t="s">
        <v>151</v>
      </c>
      <c r="I33" s="66" t="s">
        <v>115</v>
      </c>
      <c r="J33" s="64">
        <f>(1704.24*12)/'Average wages'!B25</f>
        <v>0.39153314223710384</v>
      </c>
      <c r="K33" s="64">
        <f>(203.85*5*52)/'Average wages'!B25</f>
        <v>1.0147068523070273</v>
      </c>
      <c r="L33" s="426" t="s">
        <v>996</v>
      </c>
      <c r="M33" s="431" t="s">
        <v>1125</v>
      </c>
      <c r="N33" s="65" t="s">
        <v>109</v>
      </c>
      <c r="O33" s="66" t="s">
        <v>1124</v>
      </c>
    </row>
    <row r="34" spans="1:15" ht="68.400000000000006" x14ac:dyDescent="0.25">
      <c r="A34" s="26" t="s">
        <v>80</v>
      </c>
      <c r="B34" s="60" t="s">
        <v>1002</v>
      </c>
      <c r="C34" s="57" t="s">
        <v>111</v>
      </c>
      <c r="D34" s="57" t="str">
        <f>"E + C: prior work income of  "&amp;TEXT(100*145325/'Average wages'!B27,0)&amp;"% of AW in preceding calendar year or "&amp;TEXT(100*290649/'Average wages'!B27,0)&amp;"% of AW in 3 preceding years"</f>
        <v>E + C: prior work income of  24% of AW in preceding calendar year or 49% of AW in 3 preceding years</v>
      </c>
      <c r="E34" s="57" t="s">
        <v>152</v>
      </c>
      <c r="F34" s="57">
        <v>24</v>
      </c>
      <c r="G34" s="554">
        <v>0.624</v>
      </c>
      <c r="H34" s="555"/>
      <c r="I34" s="59" t="s">
        <v>115</v>
      </c>
      <c r="J34" s="27">
        <f>145325*0.624/'Average wages'!B27</f>
        <v>0.15162706795265957</v>
      </c>
      <c r="K34" s="27">
        <f>581298*0.624/'Average wages'!B27</f>
        <v>0.60650618507995946</v>
      </c>
      <c r="L34" s="58" t="s">
        <v>1087</v>
      </c>
      <c r="M34" s="432" t="s">
        <v>109</v>
      </c>
      <c r="N34" s="404" t="s">
        <v>153</v>
      </c>
      <c r="O34" s="405" t="s">
        <v>1004</v>
      </c>
    </row>
    <row r="35" spans="1:15" ht="68.400000000000006" x14ac:dyDescent="0.25">
      <c r="A35" s="26" t="s">
        <v>81</v>
      </c>
      <c r="B35" s="68" t="s">
        <v>913</v>
      </c>
      <c r="C35" s="73" t="s">
        <v>111</v>
      </c>
      <c r="D35" s="73" t="s">
        <v>154</v>
      </c>
      <c r="E35" s="73">
        <v>7</v>
      </c>
      <c r="F35" s="73">
        <v>12</v>
      </c>
      <c r="G35" s="69" t="str">
        <f>"Until month 3: Flat rate ot PLN 831.1/month ("&amp;TEXT(831.1*12/'Average wages'!B28,"0%")&amp;" of AW)"</f>
        <v>Until month 3: Flat rate ot PLN 831.1/month (18% of AW)</v>
      </c>
      <c r="H35" s="75" t="str">
        <f>"From month 4: Basic rate of PLN 652.6/month ("&amp;TEXT(652.6*12/'Average wages'!B28,"0%")&amp;" of AW)"</f>
        <v>From month 4: Basic rate of PLN 652.6/month (14% of AW)</v>
      </c>
      <c r="I35" s="74" t="s">
        <v>109</v>
      </c>
      <c r="J35" s="488">
        <v>0.12</v>
      </c>
      <c r="K35" s="488">
        <v>0.22</v>
      </c>
      <c r="L35" s="480" t="s">
        <v>189</v>
      </c>
      <c r="M35" s="435" t="s">
        <v>1107</v>
      </c>
      <c r="N35" s="73" t="s">
        <v>109</v>
      </c>
      <c r="O35" s="74" t="s">
        <v>1126</v>
      </c>
    </row>
    <row r="36" spans="1:15" ht="57" x14ac:dyDescent="0.25">
      <c r="A36" s="26" t="s">
        <v>82</v>
      </c>
      <c r="B36" s="60" t="s">
        <v>190</v>
      </c>
      <c r="C36" s="57" t="s">
        <v>111</v>
      </c>
      <c r="D36" s="57" t="s">
        <v>155</v>
      </c>
      <c r="E36" s="57">
        <v>0</v>
      </c>
      <c r="F36" s="57">
        <v>24</v>
      </c>
      <c r="G36" s="58" t="s">
        <v>191</v>
      </c>
      <c r="H36" s="84" t="s">
        <v>192</v>
      </c>
      <c r="I36" s="59" t="s">
        <v>115</v>
      </c>
      <c r="J36" s="27">
        <f>428.9*12/'Average wages'!B29</f>
        <v>0.28340970758772305</v>
      </c>
      <c r="K36" s="27">
        <f>2.5*428.9*12/'Average wages'!B29</f>
        <v>0.70852426896930776</v>
      </c>
      <c r="L36" s="58" t="s">
        <v>1088</v>
      </c>
      <c r="M36" s="432" t="s">
        <v>817</v>
      </c>
      <c r="N36" s="404" t="s">
        <v>109</v>
      </c>
      <c r="O36" s="405" t="s">
        <v>109</v>
      </c>
    </row>
    <row r="37" spans="1:15" ht="34.200000000000003" x14ac:dyDescent="0.25">
      <c r="A37" s="26" t="s">
        <v>83</v>
      </c>
      <c r="B37" s="62" t="s">
        <v>193</v>
      </c>
      <c r="C37" s="53" t="s">
        <v>111</v>
      </c>
      <c r="D37" s="53" t="s">
        <v>156</v>
      </c>
      <c r="E37" s="53">
        <v>0</v>
      </c>
      <c r="F37" s="53">
        <v>6</v>
      </c>
      <c r="G37" s="554">
        <v>0.5</v>
      </c>
      <c r="H37" s="555"/>
      <c r="I37" s="55" t="s">
        <v>115</v>
      </c>
      <c r="J37" s="28" t="s">
        <v>118</v>
      </c>
      <c r="K37" s="28">
        <f>1824*12*0.5/'Average wages'!B30</f>
        <v>0.91476500985101539</v>
      </c>
      <c r="L37" s="54" t="s">
        <v>1089</v>
      </c>
      <c r="M37" s="434" t="s">
        <v>109</v>
      </c>
      <c r="N37" s="53" t="s">
        <v>109</v>
      </c>
      <c r="O37" s="410" t="s">
        <v>109</v>
      </c>
    </row>
    <row r="38" spans="1:15" ht="113.4" customHeight="1" x14ac:dyDescent="0.25">
      <c r="A38" s="26" t="s">
        <v>84</v>
      </c>
      <c r="B38" s="60" t="s">
        <v>793</v>
      </c>
      <c r="C38" s="57" t="s">
        <v>111</v>
      </c>
      <c r="D38" s="57" t="s">
        <v>799</v>
      </c>
      <c r="E38" s="57">
        <v>0</v>
      </c>
      <c r="F38" s="57">
        <v>9</v>
      </c>
      <c r="G38" s="58" t="s">
        <v>194</v>
      </c>
      <c r="H38" s="84" t="s">
        <v>195</v>
      </c>
      <c r="I38" s="59" t="s">
        <v>115</v>
      </c>
      <c r="J38" s="27">
        <f>350*12/'Average wages'!B31</f>
        <v>0.21287036879058199</v>
      </c>
      <c r="K38" s="27">
        <f>892.5*12/'Average wages'!B31</f>
        <v>0.54281944041598407</v>
      </c>
      <c r="L38" s="58" t="s">
        <v>196</v>
      </c>
      <c r="M38" s="432" t="s">
        <v>1385</v>
      </c>
      <c r="N38" s="404" t="s">
        <v>109</v>
      </c>
      <c r="O38" s="405" t="s">
        <v>109</v>
      </c>
    </row>
    <row r="39" spans="1:15" ht="45.6" x14ac:dyDescent="0.25">
      <c r="A39" s="26" t="s">
        <v>85</v>
      </c>
      <c r="B39" s="62" t="s">
        <v>980</v>
      </c>
      <c r="C39" s="53" t="s">
        <v>111</v>
      </c>
      <c r="D39" s="53" t="s">
        <v>157</v>
      </c>
      <c r="E39" s="53">
        <v>0</v>
      </c>
      <c r="F39" s="53">
        <v>24</v>
      </c>
      <c r="G39" s="54" t="s">
        <v>197</v>
      </c>
      <c r="H39" s="29" t="s">
        <v>198</v>
      </c>
      <c r="I39" s="55" t="s">
        <v>115</v>
      </c>
      <c r="J39" s="486">
        <v>0.22</v>
      </c>
      <c r="K39" s="486">
        <v>0.49</v>
      </c>
      <c r="L39" s="58" t="s">
        <v>199</v>
      </c>
      <c r="M39" s="434" t="s">
        <v>1094</v>
      </c>
      <c r="N39" s="53" t="s">
        <v>158</v>
      </c>
      <c r="O39" s="410" t="s">
        <v>109</v>
      </c>
    </row>
    <row r="40" spans="1:15" ht="87" customHeight="1" x14ac:dyDescent="0.25">
      <c r="A40" s="26" t="s">
        <v>86</v>
      </c>
      <c r="B40" s="63" t="s">
        <v>954</v>
      </c>
      <c r="C40" s="65" t="s">
        <v>124</v>
      </c>
      <c r="D40" s="65" t="s">
        <v>955</v>
      </c>
      <c r="E40" s="65">
        <v>7</v>
      </c>
      <c r="F40" s="65" t="s">
        <v>956</v>
      </c>
      <c r="G40" s="67" t="s">
        <v>957</v>
      </c>
      <c r="H40" s="355" t="s">
        <v>958</v>
      </c>
      <c r="I40" s="66" t="s">
        <v>115</v>
      </c>
      <c r="J40" s="64">
        <f>94900/'Average wages'!B33</f>
        <v>0.21109417025775123</v>
      </c>
      <c r="K40" s="64">
        <f>236600/'Average wages'!B33</f>
        <v>0.52628957516316055</v>
      </c>
      <c r="L40" s="426" t="s">
        <v>159</v>
      </c>
      <c r="M40" s="431" t="s">
        <v>959</v>
      </c>
      <c r="N40" s="65" t="s">
        <v>960</v>
      </c>
      <c r="O40" s="66" t="s">
        <v>961</v>
      </c>
    </row>
    <row r="41" spans="1:15" ht="91.2" x14ac:dyDescent="0.25">
      <c r="A41" s="26" t="s">
        <v>87</v>
      </c>
      <c r="B41" s="62" t="s">
        <v>1057</v>
      </c>
      <c r="C41" s="53" t="s">
        <v>111</v>
      </c>
      <c r="D41" s="53" t="s">
        <v>160</v>
      </c>
      <c r="E41" s="53" t="s">
        <v>1058</v>
      </c>
      <c r="F41" s="53">
        <v>18</v>
      </c>
      <c r="G41" s="554">
        <v>0.7</v>
      </c>
      <c r="H41" s="555"/>
      <c r="I41" s="55" t="str">
        <f>"Gross (limit of "&amp;TEXT(100*12350*12/'Average wages'!B34,0)&amp;"% of AW) less current earnings"</f>
        <v>Gross (limit of 170% of AW) less current earnings</v>
      </c>
      <c r="J41" s="28" t="s">
        <v>118</v>
      </c>
      <c r="K41" s="28">
        <f>148200*0.7/'Average wages'!B34</f>
        <v>1.1881949424673302</v>
      </c>
      <c r="L41" s="54" t="s">
        <v>200</v>
      </c>
      <c r="M41" s="434" t="s">
        <v>1108</v>
      </c>
      <c r="N41" s="53" t="s">
        <v>1118</v>
      </c>
      <c r="O41" s="410" t="str">
        <f>"G: + replacement rate 80% if previous earnings below 36,456 SWF/year ("&amp;TEXT(100*140*21.7*12/'Average wages'!B34,0)&amp;"% of AW) or are in receipt of a disability pension for a disability of more than 40%"</f>
        <v>G: + replacement rate 80% if previous earnings below 36,456 SWF/year (42% of AW) or are in receipt of a disability pension for a disability of more than 40%</v>
      </c>
    </row>
    <row r="42" spans="1:15" ht="34.200000000000003" x14ac:dyDescent="0.25">
      <c r="A42" s="26" t="s">
        <v>88</v>
      </c>
      <c r="B42" s="60" t="s">
        <v>201</v>
      </c>
      <c r="C42" s="57" t="s">
        <v>111</v>
      </c>
      <c r="D42" s="57" t="s">
        <v>161</v>
      </c>
      <c r="E42" s="57">
        <v>0</v>
      </c>
      <c r="F42" s="57">
        <v>10</v>
      </c>
      <c r="G42" s="554">
        <v>0.4</v>
      </c>
      <c r="H42" s="555"/>
      <c r="I42" s="59" t="s">
        <v>115</v>
      </c>
      <c r="J42" s="27">
        <f>0.5*2029.5*12/'Average wages'!B35</f>
        <v>0.27098391245925574</v>
      </c>
      <c r="K42" s="27">
        <f>0.8*2029.5*12/'Average wages'!B35</f>
        <v>0.43357425993480919</v>
      </c>
      <c r="L42" s="58" t="s">
        <v>145</v>
      </c>
      <c r="M42" s="432" t="s">
        <v>109</v>
      </c>
      <c r="N42" s="404" t="s">
        <v>109</v>
      </c>
      <c r="O42" s="405" t="s">
        <v>109</v>
      </c>
    </row>
    <row r="43" spans="1:15" ht="45.6" x14ac:dyDescent="0.25">
      <c r="A43" s="26" t="s">
        <v>89</v>
      </c>
      <c r="B43" s="68" t="s">
        <v>162</v>
      </c>
      <c r="C43" s="73" t="s">
        <v>111</v>
      </c>
      <c r="D43" s="73" t="s">
        <v>163</v>
      </c>
      <c r="E43" s="73">
        <v>7</v>
      </c>
      <c r="F43" s="73">
        <v>6</v>
      </c>
      <c r="G43" s="548" t="str">
        <f>"Weekly flat rate of GBP 73.10 ("&amp;TEXT(73.1*52*100/'Average wages'!B36,"0.0")&amp;"% of AW)"</f>
        <v>Weekly flat rate of GBP 73.10 (9.7% of AW)</v>
      </c>
      <c r="H43" s="549"/>
      <c r="I43" s="74" t="s">
        <v>109</v>
      </c>
      <c r="J43" s="70" t="s">
        <v>109</v>
      </c>
      <c r="K43" s="75" t="str">
        <f>"Flat rate of "&amp;TEXT(73.1*52/'Average wages'!B36,"0%")</f>
        <v>Flat rate of 10%</v>
      </c>
      <c r="L43" s="456" t="str">
        <f>"GBP 5/10/20 ("&amp;TEXT(5*52*100/'Average wages'!B36,"0.0")&amp;"/"&amp;TEXT(10*52*100/'Average wages'!B36,"0.0")&amp;"/"&amp;TEXT(20*52*100/'Average wages'!B36,"0.0")&amp;"% of AW) are disregarded per week for a single/couple/lone parent. Earnings  reduce benefit one-for-one above this level. Must be working less than 16 hours a week."</f>
        <v>GBP 5/10/20 (0.7/1.3/2.6% of AW) are disregarded per week for a single/couple/lone parent. Earnings  reduce benefit one-for-one above this level. Must be working less than 16 hours a week.</v>
      </c>
      <c r="M43" s="435" t="s">
        <v>1095</v>
      </c>
      <c r="N43" s="73" t="s">
        <v>165</v>
      </c>
      <c r="O43" s="74" t="s">
        <v>109</v>
      </c>
    </row>
    <row r="44" spans="1:15" ht="57" x14ac:dyDescent="0.25">
      <c r="A44" s="26" t="s">
        <v>90</v>
      </c>
      <c r="B44" s="60" t="s">
        <v>202</v>
      </c>
      <c r="C44" s="57" t="s">
        <v>111</v>
      </c>
      <c r="D44" s="57" t="s">
        <v>203</v>
      </c>
      <c r="E44" s="57">
        <v>0</v>
      </c>
      <c r="F44" s="57">
        <v>20</v>
      </c>
      <c r="G44" s="554" t="s">
        <v>1081</v>
      </c>
      <c r="H44" s="555"/>
      <c r="I44" s="59" t="s">
        <v>204</v>
      </c>
      <c r="J44" s="27">
        <f>(147*52)/'Average wages'!B37</f>
        <v>0.14052528131179881</v>
      </c>
      <c r="K44" s="27">
        <f>(362*52)/'Average wages'!B37</f>
        <v>0.34605545465898757</v>
      </c>
      <c r="L44" s="58" t="s">
        <v>1090</v>
      </c>
      <c r="M44" s="432" t="s">
        <v>109</v>
      </c>
      <c r="N44" s="467" t="str">
        <f>"G: + weekly lump-sum of USD 6 ("&amp;TEXT(100*6*12/'Average wages'!B37,"0.00")&amp;"% of AW) for each dependent for up to 5 dependents"</f>
        <v>G: + weekly lump-sum of USD 6 (0.13% of AW) for each dependent for up to 5 dependents</v>
      </c>
      <c r="O44" s="405" t="s">
        <v>109</v>
      </c>
    </row>
    <row r="45" spans="1:15" x14ac:dyDescent="0.25">
      <c r="A45" s="30" t="s">
        <v>91</v>
      </c>
      <c r="B45" s="50"/>
      <c r="C45" s="41"/>
      <c r="D45" s="41"/>
      <c r="E45" s="41"/>
      <c r="F45" s="41"/>
      <c r="G45" s="50"/>
      <c r="H45" s="51"/>
      <c r="I45" s="51"/>
      <c r="J45" s="41"/>
      <c r="K45" s="41"/>
      <c r="L45" s="412"/>
      <c r="M45" s="436"/>
      <c r="N45" s="41"/>
      <c r="O45" s="51"/>
    </row>
    <row r="46" spans="1:15" ht="57" x14ac:dyDescent="0.25">
      <c r="A46" s="32" t="s">
        <v>92</v>
      </c>
      <c r="B46" s="63" t="s">
        <v>205</v>
      </c>
      <c r="C46" s="76" t="s">
        <v>206</v>
      </c>
      <c r="D46" s="65" t="s">
        <v>166</v>
      </c>
      <c r="E46" s="65" t="s">
        <v>119</v>
      </c>
      <c r="F46" s="65">
        <v>12</v>
      </c>
      <c r="G46" s="548">
        <v>0.6</v>
      </c>
      <c r="H46" s="549"/>
      <c r="I46" s="77" t="s">
        <v>115</v>
      </c>
      <c r="J46" s="64">
        <f>9*5*52/'Average wages'!B39</f>
        <v>0.1689353562238459</v>
      </c>
      <c r="K46" s="64">
        <f>74.29*5*52/'Average wages'!B39</f>
        <v>1.394467512652168</v>
      </c>
      <c r="L46" s="479" t="s">
        <v>1092</v>
      </c>
      <c r="M46" s="431" t="s">
        <v>109</v>
      </c>
      <c r="N46" s="65" t="s">
        <v>109</v>
      </c>
      <c r="O46" s="66" t="s">
        <v>109</v>
      </c>
    </row>
    <row r="47" spans="1:15" ht="57" x14ac:dyDescent="0.25">
      <c r="A47" s="26" t="s">
        <v>93</v>
      </c>
      <c r="B47" s="60" t="s">
        <v>207</v>
      </c>
      <c r="C47" s="404" t="s">
        <v>111</v>
      </c>
      <c r="D47" s="404" t="s">
        <v>167</v>
      </c>
      <c r="E47" s="404">
        <v>0</v>
      </c>
      <c r="F47" s="404">
        <v>14</v>
      </c>
      <c r="G47" s="447" t="s">
        <v>854</v>
      </c>
      <c r="H47" s="406" t="s">
        <v>855</v>
      </c>
      <c r="I47" s="405" t="s">
        <v>115</v>
      </c>
      <c r="J47" s="484">
        <v>0.16700000000000001</v>
      </c>
      <c r="K47" s="484">
        <v>0.50700000000000001</v>
      </c>
      <c r="L47" s="448" t="s">
        <v>1091</v>
      </c>
      <c r="M47" s="53" t="s">
        <v>1109</v>
      </c>
      <c r="N47" s="404" t="s">
        <v>109</v>
      </c>
      <c r="O47" s="405" t="s">
        <v>109</v>
      </c>
    </row>
    <row r="48" spans="1:15" s="450" customFormat="1" ht="57" x14ac:dyDescent="0.25">
      <c r="A48" s="26" t="s">
        <v>791</v>
      </c>
      <c r="B48" s="60" t="s">
        <v>879</v>
      </c>
      <c r="C48" s="404" t="s">
        <v>111</v>
      </c>
      <c r="D48" s="404" t="s">
        <v>880</v>
      </c>
      <c r="E48" s="404" t="s">
        <v>1071</v>
      </c>
      <c r="F48" s="404">
        <v>6</v>
      </c>
      <c r="G48" s="554" t="s">
        <v>1082</v>
      </c>
      <c r="H48" s="555"/>
      <c r="I48" s="405" t="s">
        <v>1083</v>
      </c>
      <c r="J48" s="484">
        <v>0.23599999999999999</v>
      </c>
      <c r="K48" s="484" t="s">
        <v>882</v>
      </c>
      <c r="L48" s="448" t="str">
        <f>"Earnings below EUR 378 per month permitted ("&amp;TEXT(378*12/'Average wages'!B41,"0%")&amp;" of AW) but only if a person works outside normal working hours"</f>
        <v>Earnings below EUR 378 per month permitted (20% of AW) but only if a person works outside normal working hours</v>
      </c>
      <c r="M48" s="404" t="s">
        <v>881</v>
      </c>
      <c r="N48" s="491" t="s">
        <v>1119</v>
      </c>
      <c r="O48" s="405" t="s">
        <v>109</v>
      </c>
    </row>
    <row r="49" spans="1:15" ht="91.2" x14ac:dyDescent="0.25">
      <c r="A49" s="26" t="s">
        <v>171</v>
      </c>
      <c r="B49" s="72" t="s">
        <v>779</v>
      </c>
      <c r="C49" s="65" t="s">
        <v>111</v>
      </c>
      <c r="D49" s="65" t="s">
        <v>169</v>
      </c>
      <c r="E49" s="65">
        <v>0</v>
      </c>
      <c r="F49" s="65" t="s">
        <v>1072</v>
      </c>
      <c r="G49" s="552" t="str">
        <f>"Unemployment benefit: Flat rate of EUR 8.13/day ("&amp;TEXT(8.13*6*52/'Average wages'!B43,"0%")&amp;" of AW)
Special unemployment benefit: Flat rate of EUR 13.78/day ("&amp;TEXT(13.78*6*52/'Average wages'!B43,"0%")&amp;" of AW)"</f>
        <v>Unemployment benefit: Flat rate of EUR 8.13/day (11% of AW)
Special unemployment benefit: Flat rate of EUR 13.78/day (18% of AW)</v>
      </c>
      <c r="H49" s="553"/>
      <c r="I49" s="66" t="s">
        <v>109</v>
      </c>
      <c r="J49" s="64">
        <f>219.51*12/'Average wages'!B43</f>
        <v>0.11290214735759289</v>
      </c>
      <c r="K49" s="64">
        <f>372.06*12/'Average wages'!B43</f>
        <v>0.19136427928507138</v>
      </c>
      <c r="L49" s="454" t="str">
        <f>"Unemployment Benefit: none permitted
Special Unemployment Benefit: benefit stops if earnings exceed EUR 4666 ("&amp;TEXT(4666/'Average wages'!B41,"0%")&amp;" of AW), 100% withdrawal rate below threshold"</f>
        <v>Unemployment Benefit: none permitted
Special Unemployment Benefit: benefit stops if earnings exceed EUR 4666 (20% of AW), 100% withdrawal rate below threshold</v>
      </c>
      <c r="M49" s="431" t="s">
        <v>109</v>
      </c>
      <c r="N49" s="65" t="s">
        <v>1120</v>
      </c>
      <c r="O49" s="492" t="s">
        <v>1127</v>
      </c>
    </row>
    <row r="50" spans="1:15" ht="22.8" x14ac:dyDescent="0.25">
      <c r="A50" s="32" t="s">
        <v>96</v>
      </c>
      <c r="B50" s="63" t="s">
        <v>209</v>
      </c>
      <c r="C50" s="65" t="s">
        <v>111</v>
      </c>
      <c r="D50" s="65" t="s">
        <v>170</v>
      </c>
      <c r="E50" s="65">
        <v>0</v>
      </c>
      <c r="F50" s="65">
        <v>12</v>
      </c>
      <c r="G50" s="552" t="str">
        <f>"Flat rate of RON 375/month ("&amp;TEXT(375*12/'Average wages'!B44,"0%")&amp;" of AW) plus 10% of reference earnings"</f>
        <v>Flat rate of RON 375/month (11% of AW) plus 10% of reference earnings</v>
      </c>
      <c r="H50" s="553"/>
      <c r="I50" s="66" t="s">
        <v>115</v>
      </c>
      <c r="J50" s="487">
        <v>0.105</v>
      </c>
      <c r="K50" s="64" t="s">
        <v>118</v>
      </c>
      <c r="L50" s="426" t="s">
        <v>1093</v>
      </c>
      <c r="M50" s="431" t="s">
        <v>109</v>
      </c>
      <c r="N50" s="65" t="s">
        <v>109</v>
      </c>
      <c r="O50" s="66" t="s">
        <v>109</v>
      </c>
    </row>
    <row r="51" spans="1:15" x14ac:dyDescent="0.25">
      <c r="A51" s="41"/>
      <c r="B51" s="41"/>
      <c r="C51" s="41"/>
      <c r="D51" s="41"/>
      <c r="E51" s="41"/>
      <c r="F51" s="41"/>
      <c r="G51" s="41"/>
      <c r="H51" s="41"/>
      <c r="I51" s="41"/>
      <c r="J51" s="41"/>
      <c r="K51" s="41"/>
      <c r="L51" s="41"/>
      <c r="M51" s="41"/>
      <c r="N51" s="41"/>
      <c r="O51" s="41"/>
    </row>
    <row r="52" spans="1:15" x14ac:dyDescent="0.25">
      <c r="A52" s="42" t="s">
        <v>97</v>
      </c>
      <c r="B52" s="41"/>
      <c r="C52" s="41"/>
      <c r="D52" s="41"/>
      <c r="E52" s="41"/>
      <c r="F52" s="41"/>
      <c r="G52" s="41"/>
      <c r="H52" s="41"/>
      <c r="I52" s="41"/>
      <c r="J52" s="41"/>
      <c r="K52" s="41"/>
      <c r="L52" s="41"/>
      <c r="M52" s="41"/>
      <c r="N52" s="41"/>
      <c r="O52" s="41"/>
    </row>
    <row r="53" spans="1:15" x14ac:dyDescent="0.25">
      <c r="A53" s="41" t="s">
        <v>98</v>
      </c>
      <c r="B53" s="41"/>
      <c r="C53" s="41"/>
      <c r="D53" s="41"/>
      <c r="E53" s="41"/>
      <c r="F53" s="41"/>
      <c r="G53" s="41"/>
      <c r="H53" s="41"/>
      <c r="I53" s="41"/>
      <c r="J53" s="41"/>
      <c r="K53" s="41"/>
      <c r="L53" s="41"/>
      <c r="M53" s="41"/>
      <c r="N53" s="41"/>
      <c r="O53" s="41"/>
    </row>
    <row r="54" spans="1:15" x14ac:dyDescent="0.25">
      <c r="A54" s="34" t="s">
        <v>99</v>
      </c>
      <c r="B54" s="41"/>
      <c r="C54" s="41"/>
      <c r="D54" s="41"/>
      <c r="E54" s="41"/>
      <c r="F54" s="41"/>
      <c r="G54" s="41"/>
      <c r="H54" s="41"/>
      <c r="I54" s="41"/>
      <c r="J54" s="41"/>
      <c r="K54" s="41"/>
      <c r="L54" s="41"/>
      <c r="M54" s="41"/>
      <c r="N54" s="41"/>
      <c r="O54" s="41"/>
    </row>
    <row r="55" spans="1:15" x14ac:dyDescent="0.25">
      <c r="A55" s="43" t="s">
        <v>100</v>
      </c>
      <c r="B55" s="41"/>
      <c r="C55" s="41"/>
      <c r="D55" s="41"/>
      <c r="E55" s="41"/>
      <c r="F55" s="41"/>
      <c r="G55" s="41"/>
      <c r="H55" s="41"/>
      <c r="I55" s="41"/>
      <c r="J55" s="41"/>
      <c r="K55" s="41"/>
      <c r="L55" s="41"/>
      <c r="M55" s="41"/>
      <c r="N55" s="41"/>
      <c r="O55" s="41"/>
    </row>
    <row r="56" spans="1:15" x14ac:dyDescent="0.25">
      <c r="A56" s="34" t="s">
        <v>101</v>
      </c>
      <c r="B56" s="41"/>
      <c r="C56" s="41"/>
      <c r="D56" s="41"/>
      <c r="E56" s="41"/>
      <c r="F56" s="41"/>
      <c r="G56" s="41"/>
      <c r="H56" s="41"/>
      <c r="I56" s="41"/>
      <c r="J56" s="41"/>
      <c r="K56" s="41"/>
      <c r="L56" s="41"/>
      <c r="M56" s="41"/>
      <c r="N56" s="41"/>
      <c r="O56" s="41"/>
    </row>
    <row r="57" spans="1:15" x14ac:dyDescent="0.25">
      <c r="A57" s="36" t="s">
        <v>102</v>
      </c>
      <c r="B57" s="41"/>
      <c r="C57" s="41"/>
      <c r="D57" s="41"/>
      <c r="E57" s="41"/>
      <c r="F57" s="41"/>
      <c r="G57" s="41"/>
      <c r="H57" s="41"/>
      <c r="I57" s="41"/>
      <c r="J57" s="41"/>
      <c r="K57" s="41"/>
      <c r="L57" s="41"/>
      <c r="M57" s="41"/>
      <c r="N57" s="41"/>
      <c r="O57" s="41"/>
    </row>
    <row r="58" spans="1:15" x14ac:dyDescent="0.25">
      <c r="A58" s="34" t="s">
        <v>103</v>
      </c>
      <c r="B58" s="41"/>
      <c r="C58" s="41"/>
      <c r="D58" s="41"/>
      <c r="E58" s="41"/>
      <c r="F58" s="41"/>
      <c r="G58" s="41"/>
      <c r="H58" s="41"/>
      <c r="I58" s="41"/>
      <c r="J58" s="41"/>
      <c r="K58" s="41"/>
      <c r="L58" s="41"/>
      <c r="M58" s="41"/>
      <c r="N58" s="41"/>
      <c r="O58" s="41"/>
    </row>
    <row r="59" spans="1:15" x14ac:dyDescent="0.25">
      <c r="A59" s="34" t="s">
        <v>104</v>
      </c>
      <c r="B59" s="37"/>
      <c r="C59" s="37"/>
      <c r="D59" s="41"/>
      <c r="E59" s="41"/>
      <c r="F59" s="41"/>
      <c r="G59" s="41"/>
      <c r="H59" s="41"/>
      <c r="I59" s="41"/>
      <c r="J59" s="38"/>
      <c r="K59" s="38"/>
      <c r="L59" s="38"/>
      <c r="M59" s="38"/>
      <c r="N59" s="38"/>
      <c r="O59" s="38"/>
    </row>
    <row r="60" spans="1:15" x14ac:dyDescent="0.25">
      <c r="A60" s="34" t="s">
        <v>987</v>
      </c>
      <c r="B60" s="34"/>
      <c r="C60" s="34"/>
      <c r="D60" s="41"/>
      <c r="E60" s="41"/>
      <c r="F60" s="41"/>
      <c r="G60" s="41"/>
      <c r="H60" s="41"/>
      <c r="I60" s="41"/>
      <c r="J60" s="38"/>
      <c r="K60" s="38"/>
      <c r="L60" s="38"/>
      <c r="M60" s="38"/>
      <c r="N60" s="38"/>
      <c r="O60" s="38"/>
    </row>
    <row r="61" spans="1:15" x14ac:dyDescent="0.25">
      <c r="A61" s="34"/>
      <c r="B61" s="45" t="s">
        <v>10</v>
      </c>
      <c r="C61" s="36"/>
      <c r="D61" s="39"/>
      <c r="E61" s="39"/>
      <c r="F61" s="39"/>
      <c r="G61" s="39"/>
      <c r="H61" s="39"/>
      <c r="I61" s="39"/>
      <c r="J61" s="39"/>
      <c r="K61" s="39"/>
      <c r="L61" s="39"/>
      <c r="M61" s="39"/>
      <c r="N61" s="39"/>
      <c r="O61" s="39"/>
    </row>
    <row r="62" spans="1:15" x14ac:dyDescent="0.25">
      <c r="A62" s="44" t="s">
        <v>172</v>
      </c>
    </row>
  </sheetData>
  <mergeCells count="37">
    <mergeCell ref="G46:H46"/>
    <mergeCell ref="G49:H49"/>
    <mergeCell ref="G50:H50"/>
    <mergeCell ref="G34:H34"/>
    <mergeCell ref="G37:H37"/>
    <mergeCell ref="G41:H41"/>
    <mergeCell ref="G42:H42"/>
    <mergeCell ref="G43:H43"/>
    <mergeCell ref="G44:H44"/>
    <mergeCell ref="G48:H48"/>
    <mergeCell ref="G32:H32"/>
    <mergeCell ref="G12:H12"/>
    <mergeCell ref="G14:H14"/>
    <mergeCell ref="G17:H17"/>
    <mergeCell ref="G19:H19"/>
    <mergeCell ref="G20:H20"/>
    <mergeCell ref="G21:H21"/>
    <mergeCell ref="G22:H22"/>
    <mergeCell ref="G23:H23"/>
    <mergeCell ref="G25:H25"/>
    <mergeCell ref="G28:H28"/>
    <mergeCell ref="G29:H29"/>
    <mergeCell ref="G26:H26"/>
    <mergeCell ref="A1:O1"/>
    <mergeCell ref="A2:O2"/>
    <mergeCell ref="A3:O3"/>
    <mergeCell ref="B7:B9"/>
    <mergeCell ref="C7:C9"/>
    <mergeCell ref="D7:D9"/>
    <mergeCell ref="E7:E9"/>
    <mergeCell ref="F7:F9"/>
    <mergeCell ref="G7:L7"/>
    <mergeCell ref="M7:O8"/>
    <mergeCell ref="G8:G9"/>
    <mergeCell ref="H8:H9"/>
    <mergeCell ref="I8:I9"/>
    <mergeCell ref="L8:L9"/>
  </mergeCells>
  <hyperlinks>
    <hyperlink ref="B61" r:id="rId1" xr:uid="{00000000-0004-0000-0100-000000000000}"/>
  </hyperlinks>
  <pageMargins left="0.7" right="0.7" top="0.75" bottom="0.75" header="0.3" footer="0.3"/>
  <pageSetup paperSize="9" orientation="portrait" r:id="rId2"/>
  <headerFooter>
    <oddFooter>&amp;C_x000D_&amp;1#&amp;"Calibri"&amp;10&amp;K0000FF Restricted Use - À usage restreint</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42"/>
  <sheetViews>
    <sheetView zoomScale="90" zoomScaleNormal="90" workbookViewId="0">
      <pane xSplit="1" ySplit="11" topLeftCell="B12" activePane="bottomRight" state="frozen"/>
      <selection pane="topRight" activeCell="B1" sqref="B1"/>
      <selection pane="bottomLeft" activeCell="A12" sqref="A12"/>
      <selection pane="bottomRight" activeCell="N16" sqref="N16"/>
    </sheetView>
  </sheetViews>
  <sheetFormatPr defaultRowHeight="13.2" x14ac:dyDescent="0.25"/>
  <cols>
    <col min="1" max="1" width="17.5546875" bestFit="1" customWidth="1"/>
    <col min="2" max="2" width="33" bestFit="1" customWidth="1"/>
    <col min="3" max="3" width="26.109375" customWidth="1"/>
    <col min="4" max="4" width="14.44140625" customWidth="1"/>
    <col min="5" max="5" width="17.33203125" customWidth="1"/>
    <col min="6" max="6" width="13.109375" customWidth="1"/>
    <col min="7" max="7" width="18.88671875" customWidth="1"/>
    <col min="8" max="8" width="11.44140625" customWidth="1"/>
    <col min="9" max="10" width="14.109375" customWidth="1"/>
    <col min="11" max="11" width="42" customWidth="1"/>
    <col min="12" max="12" width="15.109375" bestFit="1" customWidth="1"/>
    <col min="13" max="13" width="16.5546875" bestFit="1" customWidth="1"/>
    <col min="14" max="14" width="16.33203125" bestFit="1" customWidth="1"/>
  </cols>
  <sheetData>
    <row r="1" spans="1:14" ht="17.399999999999999" x14ac:dyDescent="0.3">
      <c r="A1" s="533" t="s">
        <v>252</v>
      </c>
      <c r="B1" s="534"/>
      <c r="C1" s="534"/>
      <c r="D1" s="534"/>
      <c r="E1" s="534"/>
      <c r="F1" s="534"/>
      <c r="G1" s="534"/>
      <c r="H1" s="534"/>
      <c r="I1" s="534"/>
      <c r="J1" s="534"/>
      <c r="K1" s="534"/>
      <c r="L1" s="534"/>
      <c r="M1" s="534"/>
      <c r="N1" s="534"/>
    </row>
    <row r="2" spans="1:14" ht="13.5" customHeight="1" x14ac:dyDescent="0.3">
      <c r="A2" s="533">
        <v>2018</v>
      </c>
      <c r="B2" s="533"/>
      <c r="C2" s="533"/>
      <c r="D2" s="533"/>
      <c r="E2" s="533"/>
      <c r="F2" s="533"/>
      <c r="G2" s="533"/>
      <c r="H2" s="533"/>
      <c r="I2" s="533"/>
      <c r="J2" s="533"/>
      <c r="K2" s="533"/>
      <c r="L2" s="533"/>
      <c r="M2" s="533"/>
      <c r="N2" s="533"/>
    </row>
    <row r="3" spans="1:14" ht="11.25" customHeight="1" x14ac:dyDescent="0.25">
      <c r="A3" s="535" t="s">
        <v>820</v>
      </c>
      <c r="B3" s="535"/>
      <c r="C3" s="535"/>
      <c r="D3" s="535"/>
      <c r="E3" s="535"/>
      <c r="F3" s="535"/>
      <c r="G3" s="535"/>
      <c r="H3" s="535"/>
      <c r="I3" s="535"/>
      <c r="J3" s="535"/>
      <c r="K3" s="535"/>
      <c r="L3" s="535"/>
      <c r="M3" s="535"/>
      <c r="N3" s="535"/>
    </row>
    <row r="4" spans="1:14" ht="0.75" hidden="1" customHeight="1" x14ac:dyDescent="0.25"/>
    <row r="5" spans="1:14" ht="12" hidden="1" customHeight="1" x14ac:dyDescent="0.25">
      <c r="A5" s="40" t="s">
        <v>9</v>
      </c>
      <c r="B5" s="40" t="s">
        <v>12</v>
      </c>
      <c r="C5" s="40" t="s">
        <v>12</v>
      </c>
      <c r="D5" s="40" t="s">
        <v>12</v>
      </c>
      <c r="E5" s="40" t="s">
        <v>12</v>
      </c>
      <c r="F5" s="40" t="s">
        <v>12</v>
      </c>
      <c r="G5" s="40" t="s">
        <v>12</v>
      </c>
      <c r="H5" s="40" t="s">
        <v>12</v>
      </c>
      <c r="I5" s="40" t="s">
        <v>13</v>
      </c>
      <c r="J5" s="40" t="s">
        <v>13</v>
      </c>
      <c r="K5" s="40" t="s">
        <v>12</v>
      </c>
      <c r="L5" s="40" t="s">
        <v>12</v>
      </c>
      <c r="M5" s="40" t="s">
        <v>12</v>
      </c>
      <c r="N5" s="40" t="s">
        <v>12</v>
      </c>
    </row>
    <row r="6" spans="1:14" ht="1.5" hidden="1" customHeight="1" x14ac:dyDescent="0.25">
      <c r="A6" s="7" t="s">
        <v>14</v>
      </c>
      <c r="B6" s="90" t="s">
        <v>212</v>
      </c>
      <c r="C6" s="9" t="s">
        <v>213</v>
      </c>
      <c r="D6" s="9" t="s">
        <v>214</v>
      </c>
      <c r="E6" s="9" t="s">
        <v>215</v>
      </c>
      <c r="F6" s="9" t="s">
        <v>216</v>
      </c>
      <c r="G6" s="11" t="s">
        <v>217</v>
      </c>
      <c r="H6" s="11" t="s">
        <v>218</v>
      </c>
      <c r="I6" s="11" t="s">
        <v>219</v>
      </c>
      <c r="J6" s="11" t="s">
        <v>220</v>
      </c>
      <c r="K6" s="11" t="s">
        <v>221</v>
      </c>
      <c r="L6" s="11" t="s">
        <v>222</v>
      </c>
      <c r="M6" s="11" t="s">
        <v>223</v>
      </c>
      <c r="N6" s="11" t="s">
        <v>224</v>
      </c>
    </row>
    <row r="7" spans="1:14" ht="20.25" customHeight="1" x14ac:dyDescent="0.25">
      <c r="A7" s="41"/>
      <c r="B7" s="536" t="s">
        <v>29</v>
      </c>
      <c r="C7" s="538" t="s">
        <v>226</v>
      </c>
      <c r="D7" s="538" t="s">
        <v>32</v>
      </c>
      <c r="E7" s="540" t="s">
        <v>33</v>
      </c>
      <c r="F7" s="542" t="s">
        <v>34</v>
      </c>
      <c r="G7" s="543"/>
      <c r="H7" s="543"/>
      <c r="I7" s="543"/>
      <c r="J7" s="543"/>
      <c r="K7" s="543"/>
      <c r="L7" s="544" t="s">
        <v>35</v>
      </c>
      <c r="M7" s="538"/>
      <c r="N7" s="540"/>
    </row>
    <row r="8" spans="1:14" ht="27" customHeight="1" x14ac:dyDescent="0.25">
      <c r="A8" s="41"/>
      <c r="B8" s="537"/>
      <c r="C8" s="539"/>
      <c r="D8" s="539"/>
      <c r="E8" s="541"/>
      <c r="F8" s="536" t="s">
        <v>228</v>
      </c>
      <c r="G8" s="538" t="s">
        <v>229</v>
      </c>
      <c r="H8" s="540" t="s">
        <v>230</v>
      </c>
      <c r="I8" s="13" t="s">
        <v>38</v>
      </c>
      <c r="J8" s="14" t="s">
        <v>39</v>
      </c>
      <c r="K8" s="536" t="s">
        <v>40</v>
      </c>
      <c r="L8" s="545"/>
      <c r="M8" s="539"/>
      <c r="N8" s="541"/>
    </row>
    <row r="9" spans="1:14" ht="17.25" customHeight="1" x14ac:dyDescent="0.25">
      <c r="A9" s="41"/>
      <c r="B9" s="537"/>
      <c r="C9" s="539"/>
      <c r="D9" s="539"/>
      <c r="E9" s="541"/>
      <c r="F9" s="537"/>
      <c r="G9" s="539"/>
      <c r="H9" s="541"/>
      <c r="I9" s="16" t="s">
        <v>41</v>
      </c>
      <c r="J9" s="15" t="s">
        <v>41</v>
      </c>
      <c r="K9" s="537"/>
      <c r="L9" s="428" t="s">
        <v>42</v>
      </c>
      <c r="M9" s="423" t="s">
        <v>43</v>
      </c>
      <c r="N9" s="424" t="s">
        <v>44</v>
      </c>
    </row>
    <row r="10" spans="1:14" x14ac:dyDescent="0.25">
      <c r="A10" s="17"/>
      <c r="B10" s="18" t="s">
        <v>45</v>
      </c>
      <c r="C10" s="19" t="s">
        <v>46</v>
      </c>
      <c r="D10" s="19" t="s">
        <v>47</v>
      </c>
      <c r="E10" s="20" t="s">
        <v>48</v>
      </c>
      <c r="F10" s="18" t="s">
        <v>49</v>
      </c>
      <c r="G10" s="19" t="s">
        <v>50</v>
      </c>
      <c r="H10" s="19" t="s">
        <v>51</v>
      </c>
      <c r="I10" s="21" t="s">
        <v>52</v>
      </c>
      <c r="J10" s="21" t="s">
        <v>53</v>
      </c>
      <c r="K10" s="18" t="s">
        <v>54</v>
      </c>
      <c r="L10" s="429" t="s">
        <v>55</v>
      </c>
      <c r="M10" s="21" t="s">
        <v>56</v>
      </c>
      <c r="N10" s="21" t="s">
        <v>58</v>
      </c>
    </row>
    <row r="11" spans="1:14" x14ac:dyDescent="0.25">
      <c r="A11" s="91" t="s">
        <v>59</v>
      </c>
      <c r="B11" s="85"/>
      <c r="C11" s="86"/>
      <c r="D11" s="86"/>
      <c r="E11" s="87"/>
      <c r="F11" s="85"/>
      <c r="G11" s="86"/>
      <c r="H11" s="88"/>
      <c r="I11" s="85"/>
      <c r="J11" s="87"/>
      <c r="K11" s="86"/>
      <c r="L11" s="437"/>
      <c r="M11" s="86"/>
      <c r="N11" s="89"/>
    </row>
    <row r="12" spans="1:14" ht="136.80000000000001" x14ac:dyDescent="0.25">
      <c r="A12" s="26" t="s">
        <v>231</v>
      </c>
      <c r="B12" s="56" t="s">
        <v>1128</v>
      </c>
      <c r="C12" s="57" t="s">
        <v>109</v>
      </c>
      <c r="D12" s="57">
        <v>7</v>
      </c>
      <c r="E12" s="59" t="s">
        <v>232</v>
      </c>
      <c r="F12" s="554" t="s">
        <v>1143</v>
      </c>
      <c r="G12" s="556"/>
      <c r="H12" s="57" t="s">
        <v>109</v>
      </c>
      <c r="I12" s="58" t="s">
        <v>109</v>
      </c>
      <c r="J12" s="84" t="str">
        <f>"Flat rate of "&amp;TEXT((538.8+8.8)*26/'Average wages'!B4,"0%")&amp;" including energy supplement"</f>
        <v>Flat rate of 17% including energy supplement</v>
      </c>
      <c r="K12" s="469" t="str">
        <f>"Income disregard of AUD 104 per fortnight ("&amp;TEXT(104*26/'Average wages'!B4,"0%")&amp;" of AW), 50% withdrawal beyond this point up to AUD 254 ("&amp;TEXT(254*26/'Average wages'!B4,"0%")&amp;" of AW), 60% withdrawal rate thereafter "</f>
        <v xml:space="preserve">Income disregard of AUD 104 per fortnight (3% of AW), 50% withdrawal beyond this point up to AUD 254 (8% of AW), 60% withdrawal rate thereafter </v>
      </c>
      <c r="L12" s="470" t="s">
        <v>1026</v>
      </c>
      <c r="M12" s="92" t="s">
        <v>1156</v>
      </c>
      <c r="N12" s="93" t="s">
        <v>109</v>
      </c>
    </row>
    <row r="13" spans="1:14" ht="68.400000000000006" x14ac:dyDescent="0.25">
      <c r="A13" s="26" t="s">
        <v>60</v>
      </c>
      <c r="B13" s="60" t="s">
        <v>843</v>
      </c>
      <c r="C13" s="57" t="s">
        <v>844</v>
      </c>
      <c r="D13" s="57">
        <v>0</v>
      </c>
      <c r="E13" s="59" t="s">
        <v>232</v>
      </c>
      <c r="F13" s="27">
        <v>0.92</v>
      </c>
      <c r="G13" s="27">
        <v>0.92</v>
      </c>
      <c r="H13" s="57" t="s">
        <v>845</v>
      </c>
      <c r="I13" s="58" t="s">
        <v>109</v>
      </c>
      <c r="J13" s="84">
        <f>0.92*54.49*30*12/'Average wages'!B5</f>
        <v>0.38281487638476491</v>
      </c>
      <c r="K13" s="27" t="str">
        <f>"No reduction for earnings up to EUR 438.05 per month ("&amp;TEXT(100*438.05*12/'Average wages'!B5,0)&amp;"% of AW), benefit fully withdrawn if earnings exceed this level"</f>
        <v>No reduction for earnings up to EUR 438.05 per month (11% of AW), benefit fully withdrawn if earnings exceed this level</v>
      </c>
      <c r="L13" s="438" t="s">
        <v>846</v>
      </c>
      <c r="M13" s="92" t="s">
        <v>1157</v>
      </c>
      <c r="N13" s="93" t="s">
        <v>847</v>
      </c>
    </row>
    <row r="14" spans="1:14" ht="91.2" x14ac:dyDescent="0.25">
      <c r="A14" s="32" t="s">
        <v>63</v>
      </c>
      <c r="B14" s="56" t="s">
        <v>233</v>
      </c>
      <c r="C14" s="57" t="s">
        <v>1130</v>
      </c>
      <c r="D14" s="57">
        <v>0</v>
      </c>
      <c r="E14" s="59" t="s">
        <v>1141</v>
      </c>
      <c r="F14" s="484" t="s">
        <v>234</v>
      </c>
      <c r="G14" s="484" t="s">
        <v>235</v>
      </c>
      <c r="H14" s="57" t="s">
        <v>109</v>
      </c>
      <c r="I14" s="493">
        <v>0.10777692935593577</v>
      </c>
      <c r="J14" s="494" t="s">
        <v>236</v>
      </c>
      <c r="K14" s="27" t="s">
        <v>130</v>
      </c>
      <c r="L14" s="438" t="s">
        <v>109</v>
      </c>
      <c r="M14" s="92" t="s">
        <v>109</v>
      </c>
      <c r="N14" s="93" t="s">
        <v>109</v>
      </c>
    </row>
    <row r="15" spans="1:14" ht="45.6" x14ac:dyDescent="0.25">
      <c r="A15" s="26" t="s">
        <v>66</v>
      </c>
      <c r="B15" s="62" t="s">
        <v>237</v>
      </c>
      <c r="C15" s="53" t="s">
        <v>924</v>
      </c>
      <c r="D15" s="53">
        <v>7</v>
      </c>
      <c r="E15" s="55" t="s">
        <v>238</v>
      </c>
      <c r="F15" s="554" t="s">
        <v>925</v>
      </c>
      <c r="G15" s="556"/>
      <c r="H15" s="53" t="s">
        <v>109</v>
      </c>
      <c r="I15" s="54" t="s">
        <v>109</v>
      </c>
      <c r="J15" s="29" t="str">
        <f>"Flat rate of "&amp;TEXT(164.61*12/'Average wages'!B11,"0%")</f>
        <v>Flat rate of 13%</v>
      </c>
      <c r="K15" s="28" t="s">
        <v>130</v>
      </c>
      <c r="L15" s="439" t="s">
        <v>109</v>
      </c>
      <c r="M15" s="28" t="s">
        <v>109</v>
      </c>
      <c r="N15" s="29" t="s">
        <v>109</v>
      </c>
    </row>
    <row r="16" spans="1:14" ht="102.6" x14ac:dyDescent="0.25">
      <c r="A16" s="32" t="s">
        <v>67</v>
      </c>
      <c r="B16" s="60" t="s">
        <v>239</v>
      </c>
      <c r="C16" s="57" t="s">
        <v>145</v>
      </c>
      <c r="D16" s="57">
        <v>5</v>
      </c>
      <c r="E16" s="59" t="s">
        <v>232</v>
      </c>
      <c r="F16" s="554" t="s">
        <v>1145</v>
      </c>
      <c r="G16" s="556"/>
      <c r="H16" s="57" t="s">
        <v>109</v>
      </c>
      <c r="I16" s="58" t="s">
        <v>109</v>
      </c>
      <c r="J16" s="84" t="str">
        <f>"Flat rate of "&amp;TEXT(32.4*5*52/'Average wages'!B12,"0%")</f>
        <v>Flat rate of 19%</v>
      </c>
      <c r="K16" s="458" t="str">
        <f>"For part-time work (&lt; 80% of full-time): benefit reduced by 50% of current earnings exceeding EUR 300 per month ("&amp;TEXT(300*12/'Average wages'!B12,"0%")&amp;" of AW) and total income (benefit + earnings) cannot exceed 100% of reference earnings
Full-time work not permitted"</f>
        <v>For part-time work (&lt; 80% of full-time): benefit reduced by 50% of current earnings exceeding EUR 300 per month (8% of AW) and total income (benefit + earnings) cannot exceed 100% of reference earnings
Full-time work not permitted</v>
      </c>
      <c r="L16" s="438" t="s">
        <v>1152</v>
      </c>
      <c r="M16" s="404" t="s">
        <v>1158</v>
      </c>
      <c r="N16" s="406" t="s">
        <v>1167</v>
      </c>
    </row>
    <row r="17" spans="1:14" ht="22.8" x14ac:dyDescent="0.25">
      <c r="A17" s="26" t="s">
        <v>68</v>
      </c>
      <c r="B17" s="52" t="s">
        <v>254</v>
      </c>
      <c r="C17" s="53" t="s">
        <v>240</v>
      </c>
      <c r="D17" s="53">
        <v>0</v>
      </c>
      <c r="E17" s="55" t="s">
        <v>232</v>
      </c>
      <c r="F17" s="554" t="s">
        <v>1144</v>
      </c>
      <c r="G17" s="556"/>
      <c r="H17" s="53" t="s">
        <v>109</v>
      </c>
      <c r="I17" s="54" t="s">
        <v>109</v>
      </c>
      <c r="J17" s="29" t="str">
        <f>"Flat rate of "&amp;TEXT(16.32*365/'Average wages'!B13,"0%")</f>
        <v>Flat rate of 15%</v>
      </c>
      <c r="K17" s="28" t="s">
        <v>1151</v>
      </c>
      <c r="L17" s="439" t="s">
        <v>109</v>
      </c>
      <c r="M17" s="28" t="s">
        <v>109</v>
      </c>
      <c r="N17" s="29" t="s">
        <v>109</v>
      </c>
    </row>
    <row r="18" spans="1:14" ht="182.4" x14ac:dyDescent="0.25">
      <c r="A18" s="472" t="s">
        <v>241</v>
      </c>
      <c r="B18" s="56" t="s">
        <v>819</v>
      </c>
      <c r="C18" s="57" t="s">
        <v>145</v>
      </c>
      <c r="D18" s="57">
        <v>0</v>
      </c>
      <c r="E18" s="59" t="s">
        <v>232</v>
      </c>
      <c r="F18" s="554" t="str">
        <f>"Flat rate of EUR 416/month"</f>
        <v>Flat rate of EUR 416/month</v>
      </c>
      <c r="G18" s="556"/>
      <c r="H18" s="57" t="s">
        <v>109</v>
      </c>
      <c r="I18" s="58" t="s">
        <v>109</v>
      </c>
      <c r="J18" s="84" t="str">
        <f>"Flat rate of "&amp;TEXT(100*416*12/'Average wages'!B14,0)&amp;"% of AW"</f>
        <v>Flat rate of 10% of AW</v>
      </c>
      <c r="K18" s="27" t="str">
        <f>"EUR100/month ("&amp;TEXT(100*12/'Average wages'!B14,"0%")&amp;" of AW) of gross income disregarded
80% withdrawal rate beyond this point up to EUR1000/month ("&amp;TEXT(100*1000*12/'Average wages'!B14,0)&amp;"% of AW)
90% withdrawal rate from this point up to EUR1200/month ("&amp;TEXT(100*1200*12/'Average wages'!B14,0)&amp;"% of AW) 
100% withdrawal rate above EUR 1200/month"</f>
        <v>EUR100/month (2% of AW) of gross income disregarded
80% withdrawal rate beyond this point up to EUR1000/month (24% of AW)
90% withdrawal rate from this point up to EUR1200/month (29% of AW) 
100% withdrawal rate above EUR 1200/month</v>
      </c>
      <c r="L18" s="438" t="s">
        <v>109</v>
      </c>
      <c r="M18" s="469" t="s">
        <v>1159</v>
      </c>
      <c r="N18" s="406" t="s">
        <v>109</v>
      </c>
    </row>
    <row r="19" spans="1:14" ht="68.400000000000006" x14ac:dyDescent="0.25">
      <c r="A19" s="473" t="s">
        <v>70</v>
      </c>
      <c r="B19" s="53" t="s">
        <v>1034</v>
      </c>
      <c r="C19" s="53" t="s">
        <v>1131</v>
      </c>
      <c r="D19" s="53" t="s">
        <v>119</v>
      </c>
      <c r="E19" s="410">
        <v>12</v>
      </c>
      <c r="F19" s="561" t="s">
        <v>1146</v>
      </c>
      <c r="G19" s="562"/>
      <c r="H19" s="53" t="s">
        <v>109</v>
      </c>
      <c r="I19" s="54" t="s">
        <v>109</v>
      </c>
      <c r="J19" s="29" t="str">
        <f>"Flat rate of "&amp;TEXT(200*12/'Average wages'!B15,"0%")</f>
        <v>Flat rate of 11%</v>
      </c>
      <c r="K19" s="28" t="str">
        <f>"Self employment is not permitted; fully withdrawn if annual family income above EUR 10 000 ("&amp;TEXT(10000/'Average wages'!B15,"0%")&amp;" of AW)"</f>
        <v>Self employment is not permitted; fully withdrawn if annual family income above EUR 10 000 (48% of AW)</v>
      </c>
      <c r="L19" s="439" t="s">
        <v>109</v>
      </c>
      <c r="M19" s="28" t="str">
        <f>"G:+ maximum income level increased by EUR 586 for each dependent child ("&amp;TEXT(586/'Average wages'!B15,"0%")&amp;" of AW)"</f>
        <v>G:+ maximum income level increased by EUR 586 for each dependent child (3% of AW)</v>
      </c>
      <c r="N19" s="29" t="s">
        <v>109</v>
      </c>
    </row>
    <row r="20" spans="1:14" ht="45.6" x14ac:dyDescent="0.25">
      <c r="A20" s="274"/>
      <c r="B20" s="53" t="s">
        <v>1035</v>
      </c>
      <c r="C20" s="53" t="s">
        <v>1132</v>
      </c>
      <c r="D20" s="53" t="s">
        <v>119</v>
      </c>
      <c r="E20" s="410" t="s">
        <v>1032</v>
      </c>
      <c r="F20" s="561" t="s">
        <v>1033</v>
      </c>
      <c r="G20" s="562"/>
      <c r="H20" s="53" t="s">
        <v>109</v>
      </c>
      <c r="I20" s="54" t="s">
        <v>109</v>
      </c>
      <c r="J20" s="29" t="str">
        <f>"Lump-sum of "&amp;TEXT(187.2/'Average wages'!B15,"0%")</f>
        <v>Lump-sum of 1%</v>
      </c>
      <c r="K20" s="28" t="str">
        <f>"Self employment is not permitted; fully withdrawn if annual family income above EUR 10 858 ("&amp;TEXT(10858/'Average wages'!B15,"0%")&amp;" of AW)"</f>
        <v>Self employment is not permitted; fully withdrawn if annual family income above EUR 10 858 (52% of AW)</v>
      </c>
      <c r="L20" s="439" t="s">
        <v>109</v>
      </c>
      <c r="M20" s="28" t="s">
        <v>109</v>
      </c>
      <c r="N20" s="29" t="s">
        <v>109</v>
      </c>
    </row>
    <row r="21" spans="1:14" ht="45.6" x14ac:dyDescent="0.25">
      <c r="A21" s="78"/>
      <c r="B21" s="52" t="s">
        <v>1129</v>
      </c>
      <c r="C21" s="53" t="s">
        <v>1036</v>
      </c>
      <c r="D21" s="53" t="s">
        <v>119</v>
      </c>
      <c r="E21" s="410" t="s">
        <v>1142</v>
      </c>
      <c r="F21" s="546" t="s">
        <v>1037</v>
      </c>
      <c r="G21" s="563"/>
      <c r="H21" s="53" t="s">
        <v>109</v>
      </c>
      <c r="I21" s="54" t="s">
        <v>109</v>
      </c>
      <c r="J21" s="29" t="str">
        <f>"Total: "&amp;TEXT(216*3/'Average wages'!B15,"0%")</f>
        <v>Total: 3%</v>
      </c>
      <c r="K21" s="28" t="str">
        <f>K20</f>
        <v>Self employment is not permitted; fully withdrawn if annual family income above EUR 10 858 (52% of AW)</v>
      </c>
      <c r="L21" s="439" t="s">
        <v>109</v>
      </c>
      <c r="M21" s="28" t="s">
        <v>1160</v>
      </c>
      <c r="N21" s="29" t="s">
        <v>109</v>
      </c>
    </row>
    <row r="22" spans="1:14" ht="57" x14ac:dyDescent="0.25">
      <c r="A22" s="26" t="s">
        <v>73</v>
      </c>
      <c r="B22" s="60" t="s">
        <v>242</v>
      </c>
      <c r="C22" s="57" t="s">
        <v>243</v>
      </c>
      <c r="D22" s="57">
        <v>3</v>
      </c>
      <c r="E22" s="59" t="s">
        <v>232</v>
      </c>
      <c r="F22" s="554" t="str">
        <f>"Flat rate of  EUR 193/week"</f>
        <v>Flat rate of  EUR 193/week</v>
      </c>
      <c r="G22" s="556"/>
      <c r="H22" s="57" t="s">
        <v>109</v>
      </c>
      <c r="I22" s="58" t="s">
        <v>109</v>
      </c>
      <c r="J22" s="84" t="str">
        <f>"Flat rate of "&amp;TEXT(193*52*100/'Average wages'!B18,0)&amp;"%"</f>
        <v>Flat rate of 21%</v>
      </c>
      <c r="K22" s="27" t="str">
        <f>"First EUR 20 of daily wages disregarded up to 3 days per week (maximum "&amp;TEXT(60*52*100/'Average wages'!B18,0)&amp;"% of AW). Benefit reduced by 60% of average net weekly earnings in excess of this amount. Benefit withdrawn if working on more than 3 days in a seven-day period."</f>
        <v>First EUR 20 of daily wages disregarded up to 3 days per week (maximum 7% of AW). Benefit reduced by 60% of average net weekly earnings in excess of this amount. Benefit withdrawn if working on more than 3 days in a seven-day period.</v>
      </c>
      <c r="L22" s="438" t="s">
        <v>109</v>
      </c>
      <c r="M22" s="27" t="s">
        <v>1161</v>
      </c>
      <c r="N22" s="406" t="s">
        <v>109</v>
      </c>
    </row>
    <row r="23" spans="1:14" ht="68.400000000000006" x14ac:dyDescent="0.25">
      <c r="A23" s="26" t="s">
        <v>244</v>
      </c>
      <c r="B23" s="62" t="s">
        <v>974</v>
      </c>
      <c r="C23" s="53" t="s">
        <v>145</v>
      </c>
      <c r="D23" s="53" t="s">
        <v>119</v>
      </c>
      <c r="E23" s="410" t="s">
        <v>232</v>
      </c>
      <c r="F23" s="554" t="s">
        <v>1147</v>
      </c>
      <c r="G23" s="556"/>
      <c r="H23" s="53" t="s">
        <v>109</v>
      </c>
      <c r="I23" s="54" t="s">
        <v>109</v>
      </c>
      <c r="J23" s="29" t="str">
        <f>"Flat rate of "&amp;TEXT(962.4*13/'Average wages'!B26,"0%")</f>
        <v>Flat rate of 21%</v>
      </c>
      <c r="K23" s="28" t="str">
        <f>"Disregard of NZD 80 per week ("&amp;TEXT(80*52/'Average wages'!B26,"0%")&amp;" of AW), 70% withdrawal rate on gross earnings above this level"</f>
        <v>Disregard of NZD 80 per week (7% of AW), 70% withdrawal rate on gross earnings above this level</v>
      </c>
      <c r="L23" s="465" t="s">
        <v>1153</v>
      </c>
      <c r="M23" s="28" t="s">
        <v>1162</v>
      </c>
      <c r="N23" s="29" t="s">
        <v>109</v>
      </c>
    </row>
    <row r="24" spans="1:14" ht="102.6" x14ac:dyDescent="0.25">
      <c r="A24" s="32" t="s">
        <v>82</v>
      </c>
      <c r="B24" s="60" t="s">
        <v>246</v>
      </c>
      <c r="C24" s="57" t="s">
        <v>801</v>
      </c>
      <c r="D24" s="57" t="s">
        <v>119</v>
      </c>
      <c r="E24" s="59" t="s">
        <v>802</v>
      </c>
      <c r="F24" s="554" t="s">
        <v>803</v>
      </c>
      <c r="G24" s="556"/>
      <c r="H24" s="405" t="str">
        <f>"Social support index (Indexante dos Apoios Sociais (IAS): EUR 428.90/month, "&amp;TEXT(100*428.9*12/'Average wages'!B29,0)&amp;"% of AW)"</f>
        <v>Social support index (Indexante dos Apoios Sociais (IAS): EUR 428.90/month, 28% of AW)</v>
      </c>
      <c r="I24" s="58" t="s">
        <v>109</v>
      </c>
      <c r="J24" s="406" t="str">
        <f>"Flat rate of "&amp;TEXT(100*343.12*12/'Average wages'!B29,0)&amp;"%"</f>
        <v>Flat rate of 23%</v>
      </c>
      <c r="K24" s="27" t="s">
        <v>130</v>
      </c>
      <c r="L24" s="440" t="s">
        <v>247</v>
      </c>
      <c r="M24" s="27" t="s">
        <v>1163</v>
      </c>
      <c r="N24" s="406" t="s">
        <v>109</v>
      </c>
    </row>
    <row r="25" spans="1:14" ht="102.6" x14ac:dyDescent="0.25">
      <c r="A25" s="473" t="s">
        <v>85</v>
      </c>
      <c r="B25" s="62" t="s">
        <v>1134</v>
      </c>
      <c r="C25" s="53" t="s">
        <v>1133</v>
      </c>
      <c r="D25" s="53" t="s">
        <v>1067</v>
      </c>
      <c r="E25" s="410" t="s">
        <v>1069</v>
      </c>
      <c r="F25" s="559">
        <v>0.8</v>
      </c>
      <c r="G25" s="560"/>
      <c r="H25" s="132" t="str">
        <f>"IPREM (Indicador Público de Renta de Efectos Múltiples), EUR 537.84/month ("&amp;TEXT(537.84*12/'Average wages'!B32,"0%")&amp;" of AW)"</f>
        <v>IPREM (Indicador Público de Renta de Efectos Múltiples), EUR 537.84/month (24% of AW)</v>
      </c>
      <c r="I25" s="54" t="s">
        <v>109</v>
      </c>
      <c r="J25" s="29" t="str">
        <f>"Flat rate of "&amp;TEXT(537.84*0.8*12/'Average wages'!B32,"0%")</f>
        <v>Flat rate of 19%</v>
      </c>
      <c r="K25" s="486" t="s">
        <v>1068</v>
      </c>
      <c r="L25" s="441" t="s">
        <v>248</v>
      </c>
      <c r="M25" s="28" t="s">
        <v>1164</v>
      </c>
      <c r="N25" s="29" t="s">
        <v>109</v>
      </c>
    </row>
    <row r="26" spans="1:14" ht="123.75" customHeight="1" x14ac:dyDescent="0.25">
      <c r="A26" s="274"/>
      <c r="B26" s="477" t="s">
        <v>1135</v>
      </c>
      <c r="C26" s="53" t="s">
        <v>1138</v>
      </c>
      <c r="D26" s="53" t="s">
        <v>119</v>
      </c>
      <c r="E26" s="410">
        <v>11</v>
      </c>
      <c r="F26" s="561">
        <v>0.8</v>
      </c>
      <c r="G26" s="562"/>
      <c r="H26" s="410" t="str">
        <f>H25</f>
        <v>IPREM (Indicador Público de Renta de Efectos Múltiples), EUR 537.84/month (24% of AW)</v>
      </c>
      <c r="I26" s="28" t="s">
        <v>109</v>
      </c>
      <c r="J26" s="29" t="str">
        <f>J25</f>
        <v>Flat rate of 19%</v>
      </c>
      <c r="K26" s="486" t="s">
        <v>1068</v>
      </c>
      <c r="L26" s="441" t="s">
        <v>1165</v>
      </c>
      <c r="M26" s="28" t="s">
        <v>109</v>
      </c>
      <c r="N26" s="29" t="s">
        <v>109</v>
      </c>
    </row>
    <row r="27" spans="1:14" ht="102.6" x14ac:dyDescent="0.25">
      <c r="A27" s="274"/>
      <c r="B27" s="477" t="s">
        <v>1136</v>
      </c>
      <c r="C27" s="53" t="s">
        <v>1139</v>
      </c>
      <c r="D27" s="53" t="s">
        <v>119</v>
      </c>
      <c r="E27" s="410">
        <v>6</v>
      </c>
      <c r="F27" s="561">
        <v>0.75</v>
      </c>
      <c r="G27" s="562"/>
      <c r="H27" s="410" t="str">
        <f>H26</f>
        <v>IPREM (Indicador Público de Renta de Efectos Múltiples), EUR 537.84/month (24% of AW)</v>
      </c>
      <c r="I27" s="28" t="s">
        <v>109</v>
      </c>
      <c r="J27" s="29" t="str">
        <f>"Flat rate of "&amp;TEXT(537.84*0.75*12/'Average wages'!B32,"0%")</f>
        <v>Flat rate of 18%</v>
      </c>
      <c r="K27" s="486" t="s">
        <v>1068</v>
      </c>
      <c r="L27" s="441" t="s">
        <v>109</v>
      </c>
      <c r="M27" s="28" t="str">
        <f>"G: + higher rate (85% of IPREM, "&amp;TEXT(0.85*537.84*12/'Average wages'!B32,"0%")&amp;" of AW) if 3 or more dependents"</f>
        <v>G: + higher rate (85% of IPREM, 20% of AW) if 3 or more dependents</v>
      </c>
      <c r="N27" s="29" t="s">
        <v>109</v>
      </c>
    </row>
    <row r="28" spans="1:14" ht="102.6" x14ac:dyDescent="0.25">
      <c r="A28" s="78"/>
      <c r="B28" s="62" t="s">
        <v>1137</v>
      </c>
      <c r="C28" s="53" t="s">
        <v>1140</v>
      </c>
      <c r="D28" s="53" t="s">
        <v>119</v>
      </c>
      <c r="E28" s="410">
        <v>6</v>
      </c>
      <c r="F28" s="546">
        <v>0.8</v>
      </c>
      <c r="G28" s="563"/>
      <c r="H28" s="80" t="str">
        <f>H27</f>
        <v>IPREM (Indicador Público de Renta de Efectos Múltiples), EUR 537.84/month (24% of AW)</v>
      </c>
      <c r="I28" s="54" t="s">
        <v>109</v>
      </c>
      <c r="J28" s="29" t="str">
        <f>J25</f>
        <v>Flat rate of 19%</v>
      </c>
      <c r="K28" s="486" t="s">
        <v>1068</v>
      </c>
      <c r="L28" s="441" t="s">
        <v>109</v>
      </c>
      <c r="M28" s="28" t="s">
        <v>109</v>
      </c>
      <c r="N28" s="29" t="s">
        <v>109</v>
      </c>
    </row>
    <row r="29" spans="1:14" ht="57" x14ac:dyDescent="0.25">
      <c r="A29" s="26" t="s">
        <v>86</v>
      </c>
      <c r="B29" s="60" t="s">
        <v>962</v>
      </c>
      <c r="C29" s="57" t="s">
        <v>963</v>
      </c>
      <c r="D29" s="57">
        <v>7</v>
      </c>
      <c r="E29" s="59" t="s">
        <v>964</v>
      </c>
      <c r="F29" s="554" t="s">
        <v>1148</v>
      </c>
      <c r="G29" s="556"/>
      <c r="H29" s="57" t="s">
        <v>109</v>
      </c>
      <c r="I29" s="58" t="s">
        <v>109</v>
      </c>
      <c r="J29" s="84" t="str">
        <f>"Flat rate of "&amp;TEXT(94900/'Average wages'!B33,"0%")</f>
        <v>Flat rate of 21%</v>
      </c>
      <c r="K29" s="27" t="s">
        <v>249</v>
      </c>
      <c r="L29" s="440" t="s">
        <v>1154</v>
      </c>
      <c r="M29" s="27" t="s">
        <v>965</v>
      </c>
      <c r="N29" s="406" t="s">
        <v>250</v>
      </c>
    </row>
    <row r="30" spans="1:14" ht="68.400000000000006" x14ac:dyDescent="0.25">
      <c r="A30" s="26" t="s">
        <v>89</v>
      </c>
      <c r="B30" s="60" t="s">
        <v>251</v>
      </c>
      <c r="C30" s="57" t="s">
        <v>145</v>
      </c>
      <c r="D30" s="57">
        <v>7</v>
      </c>
      <c r="E30" s="59" t="s">
        <v>232</v>
      </c>
      <c r="F30" s="554" t="s">
        <v>1149</v>
      </c>
      <c r="G30" s="556"/>
      <c r="H30" s="57" t="s">
        <v>109</v>
      </c>
      <c r="I30" s="58" t="s">
        <v>109</v>
      </c>
      <c r="J30" s="461" t="str">
        <f>"Flat rate of "&amp;TEXT(73.1*52*100/'Average wages'!B36,0)&amp;"%"</f>
        <v>Flat rate of 10%</v>
      </c>
      <c r="K30" s="27" t="str">
        <f>'Unemployment Insurance'!L43</f>
        <v>GBP 5/10/20 (0.7/1.3/2.6% of AW) are disregarded per week for a single/couple/lone parent. Earnings  reduce benefit one-for-one above this level. Must be working less than 16 hours a week.</v>
      </c>
      <c r="L30" s="453" t="s">
        <v>1155</v>
      </c>
      <c r="M30" s="27" t="s">
        <v>109</v>
      </c>
      <c r="N30" s="406" t="s">
        <v>109</v>
      </c>
    </row>
    <row r="31" spans="1:14" x14ac:dyDescent="0.25">
      <c r="A31" s="94" t="s">
        <v>91</v>
      </c>
      <c r="B31" s="94"/>
      <c r="C31" s="95"/>
      <c r="D31" s="95"/>
      <c r="E31" s="96"/>
      <c r="F31" s="100"/>
      <c r="G31" s="101"/>
      <c r="H31" s="97"/>
      <c r="I31" s="98"/>
      <c r="J31" s="102"/>
      <c r="K31" s="100"/>
      <c r="L31" s="442"/>
      <c r="M31" s="101"/>
      <c r="N31" s="102"/>
    </row>
    <row r="32" spans="1:14" ht="45.6" x14ac:dyDescent="0.25">
      <c r="A32" s="99" t="s">
        <v>255</v>
      </c>
      <c r="B32" s="46" t="s">
        <v>245</v>
      </c>
      <c r="C32" s="47" t="s">
        <v>253</v>
      </c>
      <c r="D32" s="47">
        <v>0</v>
      </c>
      <c r="E32" s="49" t="s">
        <v>232</v>
      </c>
      <c r="F32" s="557" t="s">
        <v>1150</v>
      </c>
      <c r="G32" s="558"/>
      <c r="H32" s="47" t="s">
        <v>109</v>
      </c>
      <c r="I32" s="455" t="s">
        <v>109</v>
      </c>
      <c r="J32" s="406" t="str">
        <f>"Flat rate of "&amp;TEXT(104.38*52/'Average wages'!B43,"0%")</f>
        <v>Flat rate of 23%</v>
      </c>
      <c r="K32" s="48" t="str">
        <f>"Earnings up to EUR 4 666 ("&amp;TEXT(4666/'Average wages'!B43,"0%")&amp;" of AW) reduce benefit on a one-for-one basis, benefit fully withdrawn if earnings exceed this threshold"</f>
        <v>Earnings up to EUR 4 666 (20% of AW) reduce benefit on a one-for-one basis, benefit fully withdrawn if earnings exceed this threshold</v>
      </c>
      <c r="L32" s="443" t="s">
        <v>109</v>
      </c>
      <c r="M32" s="48" t="s">
        <v>1166</v>
      </c>
      <c r="N32" s="103" t="s">
        <v>904</v>
      </c>
    </row>
    <row r="34" spans="1:3" x14ac:dyDescent="0.25">
      <c r="A34" s="104" t="s">
        <v>97</v>
      </c>
      <c r="B34" s="104"/>
      <c r="C34" s="104"/>
    </row>
    <row r="35" spans="1:3" x14ac:dyDescent="0.25">
      <c r="A35" s="104" t="s">
        <v>259</v>
      </c>
      <c r="B35" s="104"/>
      <c r="C35" s="104"/>
    </row>
    <row r="36" spans="1:3" x14ac:dyDescent="0.25">
      <c r="A36" s="104" t="s">
        <v>256</v>
      </c>
      <c r="B36" s="104"/>
      <c r="C36" s="104"/>
    </row>
    <row r="37" spans="1:3" x14ac:dyDescent="0.25">
      <c r="A37" s="104" t="s">
        <v>257</v>
      </c>
      <c r="B37" s="104"/>
      <c r="C37" s="104"/>
    </row>
    <row r="38" spans="1:3" x14ac:dyDescent="0.25">
      <c r="A38" s="104" t="s">
        <v>258</v>
      </c>
      <c r="B38" s="104"/>
      <c r="C38" s="104"/>
    </row>
    <row r="39" spans="1:3" x14ac:dyDescent="0.25">
      <c r="A39" s="104" t="s">
        <v>821</v>
      </c>
      <c r="B39" s="104"/>
      <c r="C39" s="104"/>
    </row>
    <row r="40" spans="1:3" x14ac:dyDescent="0.25">
      <c r="A40" s="104"/>
      <c r="B40" s="104"/>
      <c r="C40" s="104"/>
    </row>
    <row r="41" spans="1:3" x14ac:dyDescent="0.25">
      <c r="A41" s="104" t="s">
        <v>172</v>
      </c>
      <c r="B41" s="105" t="s">
        <v>10</v>
      </c>
      <c r="C41" s="104"/>
    </row>
    <row r="42" spans="1:3" x14ac:dyDescent="0.25">
      <c r="A42" s="104"/>
      <c r="B42" s="104"/>
      <c r="C42" s="104"/>
    </row>
  </sheetData>
  <mergeCells count="31">
    <mergeCell ref="A1:N1"/>
    <mergeCell ref="A2:N2"/>
    <mergeCell ref="A3:N3"/>
    <mergeCell ref="B7:B9"/>
    <mergeCell ref="C7:C9"/>
    <mergeCell ref="D7:D9"/>
    <mergeCell ref="E7:E9"/>
    <mergeCell ref="F7:K7"/>
    <mergeCell ref="F8:F9"/>
    <mergeCell ref="G8:G9"/>
    <mergeCell ref="H8:H9"/>
    <mergeCell ref="K8:K9"/>
    <mergeCell ref="F18:G18"/>
    <mergeCell ref="F22:G22"/>
    <mergeCell ref="F23:G23"/>
    <mergeCell ref="F24:G24"/>
    <mergeCell ref="L7:N8"/>
    <mergeCell ref="F12:G12"/>
    <mergeCell ref="F19:G19"/>
    <mergeCell ref="F20:G20"/>
    <mergeCell ref="F21:G21"/>
    <mergeCell ref="F15:G15"/>
    <mergeCell ref="F16:G16"/>
    <mergeCell ref="F17:G17"/>
    <mergeCell ref="F30:G30"/>
    <mergeCell ref="F32:G32"/>
    <mergeCell ref="F25:G25"/>
    <mergeCell ref="F26:G26"/>
    <mergeCell ref="F27:G27"/>
    <mergeCell ref="F28:G28"/>
    <mergeCell ref="F29:G29"/>
  </mergeCells>
  <hyperlinks>
    <hyperlink ref="B41" r:id="rId1" xr:uid="{00000000-0004-0000-02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69"/>
  <sheetViews>
    <sheetView zoomScale="90" zoomScaleNormal="90" workbookViewId="0">
      <pane xSplit="1" ySplit="9" topLeftCell="B10" activePane="bottomRight" state="frozen"/>
      <selection pane="topRight" activeCell="B1" sqref="B1"/>
      <selection pane="bottomLeft" activeCell="A9" sqref="A9"/>
      <selection pane="bottomRight" activeCell="D9" sqref="D9"/>
    </sheetView>
  </sheetViews>
  <sheetFormatPr defaultRowHeight="13.2" x14ac:dyDescent="0.25"/>
  <cols>
    <col min="1" max="1" width="18.88671875" style="33" bestFit="1" customWidth="1"/>
    <col min="2" max="2" width="18.109375" style="33" customWidth="1"/>
    <col min="3" max="3" width="20.88671875" style="33" customWidth="1"/>
    <col min="4" max="4" width="13.44140625" style="33" customWidth="1"/>
    <col min="5" max="5" width="14" style="33" customWidth="1"/>
    <col min="6" max="6" width="11.33203125" style="33" customWidth="1"/>
    <col min="7" max="7" width="12.44140625" style="33" customWidth="1"/>
    <col min="8" max="8" width="18" style="33" bestFit="1" customWidth="1"/>
    <col min="9" max="9" width="18.44140625" style="33" bestFit="1" customWidth="1"/>
    <col min="10" max="10" width="12.88671875" style="33" customWidth="1"/>
    <col min="11" max="11" width="10" style="33" customWidth="1"/>
    <col min="12" max="12" width="14.5546875" style="33" bestFit="1" customWidth="1"/>
    <col min="13" max="13" width="11" style="33" bestFit="1" customWidth="1"/>
    <col min="14" max="14" width="8.88671875" style="33"/>
    <col min="15" max="15" width="16.5546875" style="33" customWidth="1"/>
    <col min="16" max="16" width="26.5546875" style="33" bestFit="1" customWidth="1"/>
    <col min="17" max="17" width="36.6640625" style="33" bestFit="1" customWidth="1"/>
    <col min="18" max="18" width="24.88671875" style="33" bestFit="1" customWidth="1"/>
    <col min="19" max="19" width="28.109375" style="33" bestFit="1" customWidth="1"/>
    <col min="20" max="20" width="24.44140625" style="33" customWidth="1"/>
    <col min="21" max="21" width="19.109375" style="33" bestFit="1" customWidth="1"/>
    <col min="22" max="22" width="16.33203125" style="33" bestFit="1" customWidth="1"/>
    <col min="23" max="16384" width="8.88671875" style="33"/>
  </cols>
  <sheetData>
    <row r="1" spans="1:22" ht="17.399999999999999" x14ac:dyDescent="0.25">
      <c r="A1" s="564" t="s">
        <v>260</v>
      </c>
      <c r="B1" s="565"/>
      <c r="C1" s="565"/>
      <c r="D1" s="565"/>
      <c r="E1" s="565"/>
      <c r="F1" s="565"/>
      <c r="G1" s="565"/>
      <c r="H1" s="565"/>
      <c r="I1" s="565"/>
      <c r="J1" s="565"/>
      <c r="K1" s="565"/>
      <c r="L1" s="565"/>
      <c r="M1" s="565"/>
      <c r="N1" s="565"/>
      <c r="O1" s="565"/>
      <c r="P1" s="565"/>
      <c r="Q1" s="565"/>
      <c r="R1" s="565"/>
      <c r="S1" s="565"/>
      <c r="T1" s="565"/>
      <c r="U1" s="565"/>
      <c r="V1" s="565"/>
    </row>
    <row r="2" spans="1:22" ht="17.399999999999999" x14ac:dyDescent="0.25">
      <c r="A2" s="564">
        <v>2018</v>
      </c>
      <c r="B2" s="564"/>
      <c r="C2" s="564"/>
      <c r="D2" s="564"/>
      <c r="E2" s="564"/>
      <c r="F2" s="564"/>
      <c r="G2" s="564"/>
      <c r="H2" s="564"/>
      <c r="I2" s="564"/>
      <c r="J2" s="564"/>
      <c r="K2" s="564"/>
      <c r="L2" s="564"/>
      <c r="M2" s="564"/>
      <c r="N2" s="564"/>
      <c r="O2" s="564"/>
      <c r="P2" s="564"/>
      <c r="Q2" s="564"/>
      <c r="R2" s="564"/>
      <c r="S2" s="564"/>
      <c r="T2" s="564"/>
      <c r="U2" s="564"/>
      <c r="V2" s="564"/>
    </row>
    <row r="3" spans="1:22" ht="15" x14ac:dyDescent="0.25">
      <c r="A3" s="620" t="s">
        <v>814</v>
      </c>
      <c r="B3" s="620"/>
      <c r="C3" s="620"/>
      <c r="D3" s="620"/>
      <c r="E3" s="620"/>
      <c r="F3" s="620"/>
      <c r="G3" s="620"/>
      <c r="H3" s="620"/>
      <c r="I3" s="620"/>
      <c r="J3" s="620"/>
      <c r="K3" s="620"/>
      <c r="L3" s="620"/>
      <c r="M3" s="620"/>
      <c r="N3" s="620"/>
      <c r="O3" s="620"/>
      <c r="P3" s="620"/>
      <c r="Q3" s="620"/>
      <c r="R3" s="620"/>
      <c r="S3" s="620"/>
      <c r="T3" s="620"/>
      <c r="U3" s="620"/>
      <c r="V3" s="620"/>
    </row>
    <row r="4" spans="1:22" ht="0.75" customHeight="1" x14ac:dyDescent="0.25">
      <c r="A4" s="40" t="s">
        <v>9</v>
      </c>
      <c r="B4" s="40" t="s">
        <v>12</v>
      </c>
      <c r="C4" s="40" t="s">
        <v>12</v>
      </c>
      <c r="D4" s="40" t="s">
        <v>12</v>
      </c>
      <c r="E4" s="40" t="s">
        <v>12</v>
      </c>
      <c r="F4" s="40" t="s">
        <v>12</v>
      </c>
      <c r="G4" s="40" t="s">
        <v>12</v>
      </c>
      <c r="H4" s="40" t="s">
        <v>12</v>
      </c>
      <c r="I4" s="40" t="s">
        <v>12</v>
      </c>
      <c r="J4" s="40" t="s">
        <v>12</v>
      </c>
      <c r="K4" s="40" t="s">
        <v>261</v>
      </c>
      <c r="L4" s="40" t="s">
        <v>261</v>
      </c>
      <c r="M4" s="40" t="s">
        <v>261</v>
      </c>
      <c r="N4" s="40" t="s">
        <v>261</v>
      </c>
      <c r="O4" s="40" t="s">
        <v>12</v>
      </c>
      <c r="P4" s="40" t="s">
        <v>12</v>
      </c>
      <c r="Q4" s="40" t="s">
        <v>12</v>
      </c>
      <c r="R4" s="40" t="s">
        <v>12</v>
      </c>
      <c r="S4" s="40" t="s">
        <v>12</v>
      </c>
      <c r="T4" s="106" t="s">
        <v>12</v>
      </c>
      <c r="U4" s="106" t="s">
        <v>12</v>
      </c>
      <c r="V4" s="106" t="s">
        <v>12</v>
      </c>
    </row>
    <row r="5" spans="1:22" hidden="1" x14ac:dyDescent="0.25">
      <c r="A5" s="107" t="s">
        <v>14</v>
      </c>
      <c r="B5" s="43" t="s">
        <v>262</v>
      </c>
      <c r="C5" s="43" t="s">
        <v>263</v>
      </c>
      <c r="D5" s="43" t="s">
        <v>264</v>
      </c>
      <c r="E5" s="43" t="s">
        <v>265</v>
      </c>
      <c r="F5" s="43" t="s">
        <v>266</v>
      </c>
      <c r="G5" s="43" t="s">
        <v>267</v>
      </c>
      <c r="H5" s="43" t="s">
        <v>268</v>
      </c>
      <c r="I5" s="43" t="s">
        <v>269</v>
      </c>
      <c r="J5" s="43" t="s">
        <v>270</v>
      </c>
      <c r="K5" s="41"/>
      <c r="L5" s="41"/>
      <c r="M5" s="41"/>
      <c r="N5" s="41"/>
      <c r="O5" s="43" t="s">
        <v>271</v>
      </c>
      <c r="P5" s="43" t="s">
        <v>272</v>
      </c>
      <c r="Q5" s="43" t="s">
        <v>273</v>
      </c>
      <c r="R5" s="43" t="s">
        <v>274</v>
      </c>
      <c r="S5" s="43" t="s">
        <v>275</v>
      </c>
      <c r="T5" s="9" t="s">
        <v>276</v>
      </c>
      <c r="U5" s="9" t="s">
        <v>277</v>
      </c>
      <c r="V5" s="9" t="s">
        <v>278</v>
      </c>
    </row>
    <row r="6" spans="1:22" x14ac:dyDescent="0.25">
      <c r="A6" s="40"/>
      <c r="B6" s="566" t="s">
        <v>225</v>
      </c>
      <c r="C6" s="566" t="s">
        <v>279</v>
      </c>
      <c r="D6" s="568" t="s">
        <v>280</v>
      </c>
      <c r="E6" s="569"/>
      <c r="F6" s="569"/>
      <c r="G6" s="569"/>
      <c r="H6" s="569"/>
      <c r="I6" s="570"/>
      <c r="J6" s="566" t="s">
        <v>281</v>
      </c>
      <c r="K6" s="574" t="s">
        <v>282</v>
      </c>
      <c r="L6" s="575"/>
      <c r="M6" s="575"/>
      <c r="N6" s="575"/>
      <c r="O6" s="575"/>
      <c r="P6" s="575"/>
      <c r="Q6" s="575"/>
      <c r="R6" s="575"/>
      <c r="S6" s="576"/>
      <c r="T6" s="536" t="s">
        <v>227</v>
      </c>
      <c r="U6" s="538"/>
      <c r="V6" s="540"/>
    </row>
    <row r="7" spans="1:22" x14ac:dyDescent="0.25">
      <c r="A7" s="517"/>
      <c r="B7" s="567"/>
      <c r="C7" s="567"/>
      <c r="D7" s="571"/>
      <c r="E7" s="572"/>
      <c r="F7" s="572"/>
      <c r="G7" s="572"/>
      <c r="H7" s="572"/>
      <c r="I7" s="573"/>
      <c r="J7" s="567"/>
      <c r="K7" s="568" t="s">
        <v>388</v>
      </c>
      <c r="L7" s="569"/>
      <c r="M7" s="569"/>
      <c r="N7" s="569"/>
      <c r="O7" s="569"/>
      <c r="P7" s="580" t="s">
        <v>283</v>
      </c>
      <c r="Q7" s="581"/>
      <c r="R7" s="581"/>
      <c r="S7" s="582"/>
      <c r="T7" s="577"/>
      <c r="U7" s="578"/>
      <c r="V7" s="579"/>
    </row>
    <row r="8" spans="1:22" ht="68.400000000000006" x14ac:dyDescent="0.25">
      <c r="A8" s="117"/>
      <c r="B8" s="567"/>
      <c r="C8" s="567"/>
      <c r="D8" s="521" t="s">
        <v>284</v>
      </c>
      <c r="E8" s="522" t="s">
        <v>285</v>
      </c>
      <c r="F8" s="522" t="s">
        <v>286</v>
      </c>
      <c r="G8" s="522" t="s">
        <v>287</v>
      </c>
      <c r="H8" s="522" t="s">
        <v>288</v>
      </c>
      <c r="I8" s="522" t="s">
        <v>289</v>
      </c>
      <c r="J8" s="567"/>
      <c r="K8" s="521" t="s">
        <v>290</v>
      </c>
      <c r="L8" s="522" t="s">
        <v>291</v>
      </c>
      <c r="M8" s="522" t="s">
        <v>292</v>
      </c>
      <c r="N8" s="522" t="s">
        <v>293</v>
      </c>
      <c r="O8" s="110" t="s">
        <v>294</v>
      </c>
      <c r="P8" s="521" t="s">
        <v>295</v>
      </c>
      <c r="Q8" s="522" t="s">
        <v>296</v>
      </c>
      <c r="R8" s="522" t="s">
        <v>297</v>
      </c>
      <c r="S8" s="523" t="s">
        <v>298</v>
      </c>
      <c r="T8" s="515" t="s">
        <v>42</v>
      </c>
      <c r="U8" s="516" t="s">
        <v>299</v>
      </c>
      <c r="V8" s="518" t="s">
        <v>44</v>
      </c>
    </row>
    <row r="9" spans="1:22" ht="42.75" customHeight="1" x14ac:dyDescent="0.25">
      <c r="A9" s="524"/>
      <c r="B9" s="112" t="s">
        <v>45</v>
      </c>
      <c r="C9" s="113" t="s">
        <v>46</v>
      </c>
      <c r="D9" s="114" t="s">
        <v>47</v>
      </c>
      <c r="E9" s="113" t="s">
        <v>48</v>
      </c>
      <c r="F9" s="113" t="s">
        <v>49</v>
      </c>
      <c r="G9" s="113" t="s">
        <v>50</v>
      </c>
      <c r="H9" s="115" t="s">
        <v>51</v>
      </c>
      <c r="I9" s="113" t="s">
        <v>52</v>
      </c>
      <c r="J9" s="114" t="s">
        <v>53</v>
      </c>
      <c r="K9" s="114" t="s">
        <v>54</v>
      </c>
      <c r="L9" s="113" t="s">
        <v>55</v>
      </c>
      <c r="M9" s="113" t="s">
        <v>56</v>
      </c>
      <c r="N9" s="113" t="s">
        <v>57</v>
      </c>
      <c r="O9" s="113" t="s">
        <v>58</v>
      </c>
      <c r="P9" s="114" t="s">
        <v>300</v>
      </c>
      <c r="Q9" s="113" t="s">
        <v>301</v>
      </c>
      <c r="R9" s="113" t="s">
        <v>302</v>
      </c>
      <c r="S9" s="116" t="s">
        <v>303</v>
      </c>
      <c r="T9" s="525" t="s">
        <v>304</v>
      </c>
      <c r="U9" s="526" t="s">
        <v>305</v>
      </c>
      <c r="V9" s="527" t="s">
        <v>306</v>
      </c>
    </row>
    <row r="11" spans="1:22" x14ac:dyDescent="0.25">
      <c r="A11" s="119" t="s">
        <v>59</v>
      </c>
      <c r="B11" s="120"/>
      <c r="C11" s="17"/>
      <c r="D11" s="121"/>
      <c r="E11" s="17"/>
      <c r="F11" s="17"/>
      <c r="G11" s="17"/>
      <c r="H11" s="17"/>
      <c r="I11" s="17"/>
      <c r="J11" s="120"/>
      <c r="K11" s="121"/>
      <c r="L11" s="17"/>
      <c r="M11" s="17"/>
      <c r="N11" s="17"/>
      <c r="O11" s="122"/>
      <c r="P11" s="121"/>
      <c r="Q11" s="17"/>
      <c r="R11" s="17"/>
      <c r="S11" s="123"/>
      <c r="T11" s="121"/>
      <c r="U11" s="17"/>
      <c r="V11" s="123"/>
    </row>
    <row r="12" spans="1:22" ht="91.2" x14ac:dyDescent="0.25">
      <c r="A12" s="124" t="s">
        <v>231</v>
      </c>
      <c r="B12" s="125" t="s">
        <v>318</v>
      </c>
      <c r="C12" s="404" t="s">
        <v>319</v>
      </c>
      <c r="D12" s="56" t="s">
        <v>320</v>
      </c>
      <c r="E12" s="404" t="s">
        <v>1174</v>
      </c>
      <c r="F12" s="404" t="s">
        <v>320</v>
      </c>
      <c r="G12" s="404" t="s">
        <v>145</v>
      </c>
      <c r="H12" s="404" t="s">
        <v>145</v>
      </c>
      <c r="I12" s="404" t="s">
        <v>145</v>
      </c>
      <c r="J12" s="125" t="s">
        <v>321</v>
      </c>
      <c r="K12" s="126">
        <f>(538.8*26+8.8*26)/'Average wages'!B4</f>
        <v>0.16884323855004196</v>
      </c>
      <c r="L12" s="411">
        <f>(2*486.5*26+2*7.9*26)/'Average wages'!B4-K12</f>
        <v>0.13603659029999732</v>
      </c>
      <c r="M12" s="129">
        <v>0</v>
      </c>
      <c r="N12" s="129">
        <f>((752.6*26+12*26)/'Average wages'!B4-'Social Assistance'!K12)/2</f>
        <v>3.3454147886558733E-2</v>
      </c>
      <c r="O12" s="404" t="s">
        <v>1191</v>
      </c>
      <c r="P12" s="72" t="str">
        <f>"NSA: AUD 104 per fortnight ("&amp;TEXT(104*26/'Average wages'!B4,"0%")&amp;" of AW). 
YA: AUD 143 per fortnight ("&amp;TEXT(143*26/'Average wages'!B4,"0%")&amp;" of AW)."</f>
        <v>NSA: AUD 104 per fortnight (3% of AW). 
YA: AUD 143 per fortnight (4% of AW).</v>
      </c>
      <c r="Q12" s="64" t="str">
        <f>"NSA: 50% up to AUD 254 per fortnight ("&amp;TEXT(254*26/'Average wages'!B4,"0%")&amp;" of AW), 60% thereafter. 40% for lone parents.
YA: 50% up to AUD 250 per fortnight ("&amp;TEXT(250*26/'Average wages'!B4,"0%")&amp;" of AW), 60% thereafter."</f>
        <v>NSA: 50% up to AUD 254 per fortnight (8% of AW), 60% thereafter. 40% for lone parents.
YA: 50% up to AUD 250 per fortnight (8% of AW), 60% thereafter.</v>
      </c>
      <c r="R12" s="404" t="s">
        <v>320</v>
      </c>
      <c r="S12" s="405" t="s">
        <v>145</v>
      </c>
      <c r="T12" s="65" t="str">
        <f>'Unemployment Assistance'!L12</f>
        <v>G: +/- lower benefit rates but higher income disregards for those aged under 22 on YA.
G: + single people aged 60 or over entitled to higher rate after receiving support for 9 consecutive months.</v>
      </c>
      <c r="U12" s="65" t="s">
        <v>1233</v>
      </c>
      <c r="V12" s="66" t="s">
        <v>109</v>
      </c>
    </row>
    <row r="13" spans="1:22" ht="34.200000000000003" x14ac:dyDescent="0.25">
      <c r="A13" s="124" t="s">
        <v>891</v>
      </c>
      <c r="B13" s="146" t="s">
        <v>322</v>
      </c>
      <c r="C13" s="404" t="s">
        <v>109</v>
      </c>
      <c r="D13" s="56" t="s">
        <v>320</v>
      </c>
      <c r="E13" s="404" t="s">
        <v>320</v>
      </c>
      <c r="F13" s="404" t="s">
        <v>320</v>
      </c>
      <c r="G13" s="404" t="s">
        <v>320</v>
      </c>
      <c r="H13" s="404" t="s">
        <v>145</v>
      </c>
      <c r="I13" s="404" t="s">
        <v>145</v>
      </c>
      <c r="J13" s="125" t="s">
        <v>329</v>
      </c>
      <c r="K13" s="126">
        <f>863.04*12/'Average wages'!B5</f>
        <v>0.21968168000185351</v>
      </c>
      <c r="L13" s="154">
        <f>(1294.56-863.04)*12/'Average wages'!B5</f>
        <v>0.10984084000092675</v>
      </c>
      <c r="M13" s="154">
        <f>(1294.56+233.02*2-1294.56)/2*12/'Average wages'!B5</f>
        <v>5.9313849965276118E-2</v>
      </c>
      <c r="N13" s="154">
        <f>(863.04+233.02*2-863.04)/2*12/'Average wages'!B5</f>
        <v>5.9313849965276118E-2</v>
      </c>
      <c r="O13" s="404" t="s">
        <v>1190</v>
      </c>
      <c r="P13" s="56" t="s">
        <v>145</v>
      </c>
      <c r="Q13" s="469">
        <v>1</v>
      </c>
      <c r="R13" s="404" t="s">
        <v>320</v>
      </c>
      <c r="S13" s="405" t="s">
        <v>853</v>
      </c>
      <c r="T13" s="65" t="s">
        <v>109</v>
      </c>
      <c r="U13" s="65" t="s">
        <v>109</v>
      </c>
      <c r="V13" s="66" t="s">
        <v>109</v>
      </c>
    </row>
    <row r="14" spans="1:22" ht="102.6" x14ac:dyDescent="0.25">
      <c r="A14" s="124" t="s">
        <v>307</v>
      </c>
      <c r="B14" s="125" t="s">
        <v>325</v>
      </c>
      <c r="C14" s="404">
        <v>18</v>
      </c>
      <c r="D14" s="56" t="s">
        <v>119</v>
      </c>
      <c r="E14" s="404" t="s">
        <v>326</v>
      </c>
      <c r="F14" s="404" t="s">
        <v>326</v>
      </c>
      <c r="G14" s="404" t="s">
        <v>326</v>
      </c>
      <c r="H14" s="404" t="s">
        <v>145</v>
      </c>
      <c r="I14" s="404" t="s">
        <v>119</v>
      </c>
      <c r="J14" s="125" t="s">
        <v>321</v>
      </c>
      <c r="K14" s="126">
        <f>892.99*12/'Average wages'!B6</f>
        <v>0.22128415654897693</v>
      </c>
      <c r="L14" s="411">
        <f>595.13*12/'Average wages'!B6</f>
        <v>0.14747403676076173</v>
      </c>
      <c r="M14" s="129">
        <f>205.14*12/'Average wages'!B6</f>
        <v>5.0833975603822128E-2</v>
      </c>
      <c r="N14" s="411">
        <f>346.79*12/'Average wages'!B6</f>
        <v>8.5935041433408785E-2</v>
      </c>
      <c r="O14" s="404" t="s">
        <v>145</v>
      </c>
      <c r="P14" s="72" t="str">
        <f>"Minimex: EUR 310 (250) net monthly ("&amp;TEXT(310*12/'Average wages'!B6,"0%")&amp;"/"&amp;TEXT(250*12/'Average wages'!B6,"0%")&amp;" of AW) with children (without children)
AFG: EUR 4226.93 net per quarter ("&amp;TEXT(4226.93/'Average wages'!B6,"0%")&amp;" of AW)"</f>
        <v>Minimex: EUR 310 (250) net monthly (8%/6% of AW) with children (without children)
AFG: EUR 4226.93 net per quarter (9% of AW)</v>
      </c>
      <c r="Q14" s="64" t="s">
        <v>1207</v>
      </c>
      <c r="R14" s="404" t="s">
        <v>320</v>
      </c>
      <c r="S14" s="66" t="s">
        <v>327</v>
      </c>
      <c r="T14" s="65" t="s">
        <v>109</v>
      </c>
      <c r="U14" s="65" t="s">
        <v>109</v>
      </c>
      <c r="V14" s="66" t="s">
        <v>109</v>
      </c>
    </row>
    <row r="15" spans="1:22" ht="102.6" x14ac:dyDescent="0.25">
      <c r="A15" s="128" t="s">
        <v>852</v>
      </c>
      <c r="B15" s="146" t="s">
        <v>328</v>
      </c>
      <c r="C15" s="404" t="s">
        <v>119</v>
      </c>
      <c r="D15" s="56" t="s">
        <v>119</v>
      </c>
      <c r="E15" s="404" t="s">
        <v>1175</v>
      </c>
      <c r="F15" s="404" t="s">
        <v>119</v>
      </c>
      <c r="G15" s="404" t="s">
        <v>119</v>
      </c>
      <c r="H15" s="404" t="s">
        <v>119</v>
      </c>
      <c r="I15" s="404" t="s">
        <v>119</v>
      </c>
      <c r="J15" s="125" t="s">
        <v>329</v>
      </c>
      <c r="K15" s="126">
        <f>8652/'Average wages'!B7</f>
        <v>0.16175924402643826</v>
      </c>
      <c r="L15" s="411">
        <f>(13416-8652)/'Average wages'!B7</f>
        <v>8.906854352079889E-2</v>
      </c>
      <c r="M15" s="411">
        <f>(14064-13416)/'Average wages'!B7</f>
        <v>1.2115116750939899E-2</v>
      </c>
      <c r="N15" s="411">
        <f>(11832-8652)/'Average wages'!B7</f>
        <v>5.9453813685168021E-2</v>
      </c>
      <c r="O15" s="404" t="s">
        <v>1192</v>
      </c>
      <c r="P15" s="56" t="s">
        <v>145</v>
      </c>
      <c r="Q15" s="469">
        <v>0.5</v>
      </c>
      <c r="R15" s="404" t="s">
        <v>320</v>
      </c>
      <c r="S15" s="405" t="s">
        <v>330</v>
      </c>
      <c r="T15" s="65" t="s">
        <v>109</v>
      </c>
      <c r="U15" s="65" t="s">
        <v>109</v>
      </c>
      <c r="V15" s="66" t="s">
        <v>109</v>
      </c>
    </row>
    <row r="16" spans="1:22" ht="45.6" x14ac:dyDescent="0.25">
      <c r="A16" s="130" t="s">
        <v>63</v>
      </c>
      <c r="B16" s="131" t="s">
        <v>331</v>
      </c>
      <c r="C16" s="132" t="s">
        <v>109</v>
      </c>
      <c r="D16" s="133" t="s">
        <v>145</v>
      </c>
      <c r="E16" s="132" t="s">
        <v>145</v>
      </c>
      <c r="F16" s="132" t="s">
        <v>145</v>
      </c>
      <c r="G16" s="132" t="s">
        <v>145</v>
      </c>
      <c r="H16" s="132" t="s">
        <v>145</v>
      </c>
      <c r="I16" s="132" t="s">
        <v>145</v>
      </c>
      <c r="J16" s="131" t="s">
        <v>321</v>
      </c>
      <c r="K16" s="621">
        <v>2.6164299993686045E-2</v>
      </c>
      <c r="L16" s="622">
        <v>2.6164299993686045E-2</v>
      </c>
      <c r="M16" s="622">
        <v>4.0700022212400516E-2</v>
      </c>
      <c r="N16" s="622">
        <v>4.0700022212400516E-2</v>
      </c>
      <c r="O16" s="148" t="s">
        <v>332</v>
      </c>
      <c r="P16" s="133" t="s">
        <v>145</v>
      </c>
      <c r="Q16" s="134" t="s">
        <v>1208</v>
      </c>
      <c r="R16" s="132" t="s">
        <v>320</v>
      </c>
      <c r="S16" s="135" t="s">
        <v>145</v>
      </c>
      <c r="T16" s="149" t="s">
        <v>109</v>
      </c>
      <c r="U16" s="132" t="s">
        <v>333</v>
      </c>
      <c r="V16" s="150" t="s">
        <v>109</v>
      </c>
    </row>
    <row r="17" spans="1:22" ht="69" thickBot="1" x14ac:dyDescent="0.3">
      <c r="A17" s="136"/>
      <c r="B17" s="137" t="s">
        <v>334</v>
      </c>
      <c r="C17" s="80" t="s">
        <v>109</v>
      </c>
      <c r="D17" s="138" t="s">
        <v>145</v>
      </c>
      <c r="E17" s="80" t="s">
        <v>145</v>
      </c>
      <c r="F17" s="80" t="s">
        <v>145</v>
      </c>
      <c r="G17" s="80" t="s">
        <v>145</v>
      </c>
      <c r="H17" s="80" t="s">
        <v>1176</v>
      </c>
      <c r="I17" s="80" t="s">
        <v>145</v>
      </c>
      <c r="J17" s="137" t="s">
        <v>321</v>
      </c>
      <c r="K17" s="623"/>
      <c r="L17" s="624"/>
      <c r="M17" s="624"/>
      <c r="N17" s="624"/>
      <c r="O17" s="80" t="s">
        <v>145</v>
      </c>
      <c r="P17" s="138" t="s">
        <v>145</v>
      </c>
      <c r="Q17" s="83" t="s">
        <v>109</v>
      </c>
      <c r="R17" s="80" t="s">
        <v>109</v>
      </c>
      <c r="S17" s="82" t="s">
        <v>109</v>
      </c>
      <c r="T17" s="81" t="s">
        <v>109</v>
      </c>
      <c r="U17" s="81" t="s">
        <v>109</v>
      </c>
      <c r="V17" s="151" t="s">
        <v>109</v>
      </c>
    </row>
    <row r="18" spans="1:22" ht="91.8" thickBot="1" x14ac:dyDescent="0.3">
      <c r="A18" s="128" t="s">
        <v>308</v>
      </c>
      <c r="B18" s="495" t="s">
        <v>335</v>
      </c>
      <c r="C18" s="404" t="s">
        <v>119</v>
      </c>
      <c r="D18" s="56" t="s">
        <v>320</v>
      </c>
      <c r="E18" s="404" t="s">
        <v>320</v>
      </c>
      <c r="F18" s="404" t="s">
        <v>320</v>
      </c>
      <c r="G18" s="404" t="s">
        <v>336</v>
      </c>
      <c r="H18" s="404" t="s">
        <v>145</v>
      </c>
      <c r="I18" s="404" t="s">
        <v>337</v>
      </c>
      <c r="J18" s="125" t="s">
        <v>321</v>
      </c>
      <c r="K18" s="126">
        <v>0.10035590182554033</v>
      </c>
      <c r="L18" s="141">
        <v>9.044815355613986E-2</v>
      </c>
      <c r="M18" s="411">
        <v>5.5611232221796238E-2</v>
      </c>
      <c r="N18" s="411">
        <v>5.5611232221796238E-2</v>
      </c>
      <c r="O18" s="65" t="s">
        <v>145</v>
      </c>
      <c r="P18" s="72" t="s">
        <v>145</v>
      </c>
      <c r="Q18" s="469">
        <v>0.7</v>
      </c>
      <c r="R18" s="404" t="s">
        <v>320</v>
      </c>
      <c r="S18" s="66" t="s">
        <v>338</v>
      </c>
      <c r="T18" s="81" t="s">
        <v>109</v>
      </c>
      <c r="U18" s="81" t="s">
        <v>109</v>
      </c>
      <c r="V18" s="151" t="s">
        <v>109</v>
      </c>
    </row>
    <row r="19" spans="1:22" ht="74.25" customHeight="1" x14ac:dyDescent="0.25">
      <c r="A19" s="124" t="s">
        <v>65</v>
      </c>
      <c r="B19" s="156" t="s">
        <v>339</v>
      </c>
      <c r="C19" s="404">
        <v>18</v>
      </c>
      <c r="D19" s="56" t="s">
        <v>320</v>
      </c>
      <c r="E19" s="404" t="s">
        <v>1177</v>
      </c>
      <c r="F19" s="404" t="s">
        <v>320</v>
      </c>
      <c r="G19" s="404" t="s">
        <v>145</v>
      </c>
      <c r="H19" s="73" t="s">
        <v>145</v>
      </c>
      <c r="I19" s="404" t="s">
        <v>1177</v>
      </c>
      <c r="J19" s="125" t="s">
        <v>321</v>
      </c>
      <c r="K19" s="126">
        <f>11282*12/'Average wages'!B10</f>
        <v>0.31934713481424332</v>
      </c>
      <c r="L19" s="411">
        <f>11282*12/'Average wages'!B10</f>
        <v>0.31934713481424332</v>
      </c>
      <c r="M19" s="411">
        <f>(14993*2-11282*2)/2*12/'Average wages'!B10</f>
        <v>0.1050431853656849</v>
      </c>
      <c r="N19" s="411">
        <f>(14993-11282)/2*12/'Average wages'!B10</f>
        <v>5.2521592682842448E-2</v>
      </c>
      <c r="O19" s="404" t="s">
        <v>1193</v>
      </c>
      <c r="P19" s="56" t="s">
        <v>1203</v>
      </c>
      <c r="Q19" s="469">
        <v>1</v>
      </c>
      <c r="R19" s="404" t="s">
        <v>320</v>
      </c>
      <c r="S19" s="405" t="s">
        <v>340</v>
      </c>
      <c r="T19" s="404" t="s">
        <v>1223</v>
      </c>
      <c r="U19" s="81" t="s">
        <v>109</v>
      </c>
      <c r="V19" s="151" t="s">
        <v>109</v>
      </c>
    </row>
    <row r="20" spans="1:22" ht="45.6" x14ac:dyDescent="0.25">
      <c r="A20" s="124" t="s">
        <v>66</v>
      </c>
      <c r="B20" s="125" t="s">
        <v>926</v>
      </c>
      <c r="C20" s="404" t="s">
        <v>109</v>
      </c>
      <c r="D20" s="56" t="s">
        <v>341</v>
      </c>
      <c r="E20" s="404" t="s">
        <v>341</v>
      </c>
      <c r="F20" s="404" t="s">
        <v>341</v>
      </c>
      <c r="G20" s="404" t="s">
        <v>145</v>
      </c>
      <c r="H20" s="404" t="s">
        <v>145</v>
      </c>
      <c r="I20" s="404" t="s">
        <v>145</v>
      </c>
      <c r="J20" s="125" t="s">
        <v>321</v>
      </c>
      <c r="K20" s="126">
        <v>0.107</v>
      </c>
      <c r="L20" s="466">
        <v>8.5000000000000006E-2</v>
      </c>
      <c r="M20" s="411">
        <v>0.128</v>
      </c>
      <c r="N20" s="411">
        <v>0.128</v>
      </c>
      <c r="O20" s="404" t="s">
        <v>1194</v>
      </c>
      <c r="P20" s="56" t="s">
        <v>145</v>
      </c>
      <c r="Q20" s="469" t="s">
        <v>1209</v>
      </c>
      <c r="R20" s="404" t="s">
        <v>320</v>
      </c>
      <c r="S20" s="66" t="s">
        <v>324</v>
      </c>
      <c r="T20" s="65" t="s">
        <v>109</v>
      </c>
      <c r="U20" s="81" t="s">
        <v>109</v>
      </c>
      <c r="V20" s="151" t="s">
        <v>109</v>
      </c>
    </row>
    <row r="21" spans="1:22" ht="45.6" x14ac:dyDescent="0.25">
      <c r="A21" s="124" t="s">
        <v>67</v>
      </c>
      <c r="B21" s="156" t="s">
        <v>342</v>
      </c>
      <c r="C21" s="404" t="s">
        <v>109</v>
      </c>
      <c r="D21" s="56" t="s">
        <v>320</v>
      </c>
      <c r="E21" s="404" t="s">
        <v>320</v>
      </c>
      <c r="F21" s="404" t="s">
        <v>320</v>
      </c>
      <c r="G21" s="404" t="s">
        <v>145</v>
      </c>
      <c r="H21" s="404" t="s">
        <v>145</v>
      </c>
      <c r="I21" s="404" t="s">
        <v>1178</v>
      </c>
      <c r="J21" s="125" t="s">
        <v>321</v>
      </c>
      <c r="K21" s="126">
        <v>0.1343</v>
      </c>
      <c r="L21" s="411">
        <v>9.4E-2</v>
      </c>
      <c r="M21" s="411">
        <v>8.1000000000000003E-2</v>
      </c>
      <c r="N21" s="411">
        <v>1.2999999999999999E-2</v>
      </c>
      <c r="O21" s="404" t="s">
        <v>1195</v>
      </c>
      <c r="P21" s="72" t="str">
        <f>"20% of net earnings up to EUR 150 per family per month ("&amp;TEXT(150*12/'Average wages'!B12,"0%")&amp;" of AW)"</f>
        <v>20% of net earnings up to EUR 150 per family per month (4% of AW)</v>
      </c>
      <c r="Q21" s="64" t="s">
        <v>909</v>
      </c>
      <c r="R21" s="404" t="s">
        <v>320</v>
      </c>
      <c r="S21" s="405" t="s">
        <v>343</v>
      </c>
      <c r="T21" s="65" t="s">
        <v>1224</v>
      </c>
      <c r="U21" s="81" t="s">
        <v>109</v>
      </c>
      <c r="V21" s="151" t="s">
        <v>1234</v>
      </c>
    </row>
    <row r="22" spans="1:22" ht="57" x14ac:dyDescent="0.25">
      <c r="A22" s="124" t="s">
        <v>309</v>
      </c>
      <c r="B22" s="125" t="s">
        <v>1023</v>
      </c>
      <c r="C22" s="404" t="s">
        <v>344</v>
      </c>
      <c r="D22" s="56" t="s">
        <v>320</v>
      </c>
      <c r="E22" s="404" t="s">
        <v>320</v>
      </c>
      <c r="F22" s="404" t="s">
        <v>320</v>
      </c>
      <c r="G22" s="404" t="s">
        <v>145</v>
      </c>
      <c r="H22" s="404" t="s">
        <v>145</v>
      </c>
      <c r="I22" s="404" t="s">
        <v>145</v>
      </c>
      <c r="J22" s="125" t="s">
        <v>321</v>
      </c>
      <c r="K22" s="126">
        <v>0.16582335309926632</v>
      </c>
      <c r="L22" s="411">
        <v>8.2911676549633162E-2</v>
      </c>
      <c r="M22" s="411">
        <v>4.9745789948602952E-2</v>
      </c>
      <c r="N22" s="411">
        <v>9.3740754730075385E-3</v>
      </c>
      <c r="O22" s="404" t="s">
        <v>345</v>
      </c>
      <c r="P22" s="56" t="s">
        <v>1210</v>
      </c>
      <c r="Q22" s="469" t="s">
        <v>1211</v>
      </c>
      <c r="R22" s="404" t="s">
        <v>320</v>
      </c>
      <c r="S22" s="405" t="s">
        <v>1024</v>
      </c>
      <c r="T22" s="65" t="s">
        <v>109</v>
      </c>
      <c r="U22" s="81" t="s">
        <v>109</v>
      </c>
      <c r="V22" s="151" t="s">
        <v>109</v>
      </c>
    </row>
    <row r="23" spans="1:22" ht="148.19999999999999" x14ac:dyDescent="0.25">
      <c r="A23" s="124" t="s">
        <v>851</v>
      </c>
      <c r="B23" s="152" t="s">
        <v>819</v>
      </c>
      <c r="C23" s="65">
        <v>15</v>
      </c>
      <c r="D23" s="72" t="s">
        <v>320</v>
      </c>
      <c r="E23" s="65" t="s">
        <v>320</v>
      </c>
      <c r="F23" s="65" t="s">
        <v>320</v>
      </c>
      <c r="G23" s="65" t="s">
        <v>145</v>
      </c>
      <c r="H23" s="65" t="s">
        <v>145</v>
      </c>
      <c r="I23" s="65" t="s">
        <v>356</v>
      </c>
      <c r="J23" s="152" t="s">
        <v>321</v>
      </c>
      <c r="K23" s="153">
        <f>416*12/'Average wages'!B14</f>
        <v>9.8883522412169245E-2</v>
      </c>
      <c r="L23" s="154">
        <f>374*12/'Average wages'!B14</f>
        <v>8.8900089860940612E-2</v>
      </c>
      <c r="M23" s="154">
        <f>(416+374+240*2-416-374)/2*12/'Average wages'!B14</f>
        <v>5.7048186007020718E-2</v>
      </c>
      <c r="N23" s="154">
        <f>(416+416*0.36+240*2-416)/2*12/'Average wages'!B14</f>
        <v>7.4847220041211179E-2</v>
      </c>
      <c r="O23" s="65" t="s">
        <v>1030</v>
      </c>
      <c r="P23" s="72" t="str">
        <f>"EUR 100/month ("&amp;TEXT(100*100*12/'Average wages'!B14,0)&amp;"% of AW)"</f>
        <v>EUR 100/month (2% of AW)</v>
      </c>
      <c r="Q23" s="64" t="str">
        <f>"80% up to EUR 1000/month ("&amp;TEXT(100*1000*12/'Average wages'!B14,0)&amp;"% of AW)
Then 90% up to EUR 1200/month ("&amp;TEXT(100*1200*12/'Average wages'!B14,0)&amp;"% of AW), EUR1500/month ("&amp;TEXT(100*1500*12/'Average wages'!B14,0)&amp;"% of AW if children)
100% thereafter"</f>
        <v>80% up to EUR 1000/month (24% of AW)
Then 90% up to EUR 1200/month (29% of AW), EUR1500/month (36% of AW if children)
100% thereafter</v>
      </c>
      <c r="R23" s="65" t="s">
        <v>320</v>
      </c>
      <c r="S23" s="66" t="s">
        <v>822</v>
      </c>
      <c r="T23" s="65" t="s">
        <v>109</v>
      </c>
      <c r="U23" s="81" t="s">
        <v>109</v>
      </c>
      <c r="V23" s="151" t="s">
        <v>109</v>
      </c>
    </row>
    <row r="24" spans="1:22" ht="148.19999999999999" x14ac:dyDescent="0.25">
      <c r="A24" s="124" t="s">
        <v>851</v>
      </c>
      <c r="B24" s="156" t="s">
        <v>874</v>
      </c>
      <c r="C24" s="65">
        <v>15</v>
      </c>
      <c r="D24" s="72" t="s">
        <v>145</v>
      </c>
      <c r="E24" s="65" t="s">
        <v>145</v>
      </c>
      <c r="F24" s="65" t="s">
        <v>145</v>
      </c>
      <c r="G24" s="65" t="s">
        <v>145</v>
      </c>
      <c r="H24" s="65" t="s">
        <v>873</v>
      </c>
      <c r="I24" s="65" t="s">
        <v>145</v>
      </c>
      <c r="J24" s="152" t="s">
        <v>321</v>
      </c>
      <c r="K24" s="153">
        <f>416*12/'Average wages'!B14</f>
        <v>9.8883522412169245E-2</v>
      </c>
      <c r="L24" s="154">
        <f>374*12/'Average wages'!B14</f>
        <v>8.8900089860940612E-2</v>
      </c>
      <c r="M24" s="154">
        <f>(416+374+240*2-416-374)/2*12/'Average wages'!B14</f>
        <v>5.7048186007020718E-2</v>
      </c>
      <c r="N24" s="154">
        <f>(416+416*0.36+240*2-416)/2*12/'Average wages'!B14</f>
        <v>7.4847220041211179E-2</v>
      </c>
      <c r="O24" s="65" t="s">
        <v>1030</v>
      </c>
      <c r="P24" s="72" t="str">
        <f>"30% of income earned, max. EUR 208/month ("&amp;TEXT(100*208*12/'Average wages'!B14,0)&amp;"% of AW) working less than 3 hours/week (otherwise classfied as able-to-work and eligible to unemployment benefit II)"</f>
        <v>30% of income earned, max. EUR 208/month (5% of AW) working less than 3 hours/week (otherwise classfied as able-to-work and eligible to unemployment benefit II)</v>
      </c>
      <c r="Q24" s="64" t="s">
        <v>1212</v>
      </c>
      <c r="R24" s="65" t="s">
        <v>320</v>
      </c>
      <c r="S24" s="66" t="s">
        <v>837</v>
      </c>
      <c r="T24" s="65" t="s">
        <v>109</v>
      </c>
      <c r="U24" s="81" t="s">
        <v>109</v>
      </c>
      <c r="V24" s="151" t="s">
        <v>109</v>
      </c>
    </row>
    <row r="25" spans="1:22" ht="148.5" customHeight="1" x14ac:dyDescent="0.25">
      <c r="A25" s="124" t="s">
        <v>70</v>
      </c>
      <c r="B25" s="152" t="s">
        <v>1168</v>
      </c>
      <c r="C25" s="65" t="s">
        <v>119</v>
      </c>
      <c r="D25" s="72" t="s">
        <v>320</v>
      </c>
      <c r="E25" s="65" t="s">
        <v>320</v>
      </c>
      <c r="F25" s="65" t="s">
        <v>320</v>
      </c>
      <c r="G25" s="65" t="s">
        <v>145</v>
      </c>
      <c r="H25" s="65" t="s">
        <v>145</v>
      </c>
      <c r="I25" s="65" t="s">
        <v>145</v>
      </c>
      <c r="J25" s="152" t="s">
        <v>321</v>
      </c>
      <c r="K25" s="153">
        <v>0.115</v>
      </c>
      <c r="L25" s="154">
        <v>5.7000000000000002E-2</v>
      </c>
      <c r="M25" s="154">
        <v>2.9000000000000001E-2</v>
      </c>
      <c r="N25" s="154">
        <v>4.2999999999999997E-2</v>
      </c>
      <c r="O25" s="65" t="s">
        <v>1196</v>
      </c>
      <c r="P25" s="72" t="s">
        <v>1038</v>
      </c>
      <c r="Q25" s="64" t="s">
        <v>1213</v>
      </c>
      <c r="R25" s="65" t="s">
        <v>320</v>
      </c>
      <c r="S25" s="66" t="s">
        <v>1039</v>
      </c>
      <c r="T25" s="65" t="s">
        <v>109</v>
      </c>
      <c r="U25" s="81" t="s">
        <v>109</v>
      </c>
      <c r="V25" s="151" t="s">
        <v>109</v>
      </c>
    </row>
    <row r="26" spans="1:22" ht="22.8" x14ac:dyDescent="0.25">
      <c r="A26" s="124" t="s">
        <v>416</v>
      </c>
      <c r="B26" s="146" t="s">
        <v>346</v>
      </c>
      <c r="C26" s="404">
        <v>18</v>
      </c>
      <c r="D26" s="56" t="s">
        <v>320</v>
      </c>
      <c r="E26" s="404" t="s">
        <v>320</v>
      </c>
      <c r="F26" s="404" t="s">
        <v>320</v>
      </c>
      <c r="G26" s="404" t="s">
        <v>320</v>
      </c>
      <c r="H26" s="404" t="s">
        <v>145</v>
      </c>
      <c r="I26" s="404" t="s">
        <v>145</v>
      </c>
      <c r="J26" s="125" t="s">
        <v>321</v>
      </c>
      <c r="K26" s="126">
        <v>6.7869320920165871E-2</v>
      </c>
      <c r="L26" s="411">
        <v>0</v>
      </c>
      <c r="M26" s="411">
        <v>0</v>
      </c>
      <c r="N26" s="411">
        <v>0</v>
      </c>
      <c r="O26" s="404" t="s">
        <v>145</v>
      </c>
      <c r="P26" s="56" t="s">
        <v>145</v>
      </c>
      <c r="Q26" s="469" t="s">
        <v>109</v>
      </c>
      <c r="R26" s="404" t="s">
        <v>320</v>
      </c>
      <c r="S26" s="405" t="s">
        <v>347</v>
      </c>
      <c r="T26" s="65" t="s">
        <v>109</v>
      </c>
      <c r="U26" s="81" t="s">
        <v>109</v>
      </c>
      <c r="V26" s="151" t="s">
        <v>109</v>
      </c>
    </row>
    <row r="27" spans="1:22" ht="22.8" x14ac:dyDescent="0.25">
      <c r="A27" s="139" t="s">
        <v>310</v>
      </c>
      <c r="B27" s="496" t="s">
        <v>840</v>
      </c>
      <c r="C27" s="132">
        <v>18</v>
      </c>
      <c r="D27" s="133" t="s">
        <v>119</v>
      </c>
      <c r="E27" s="132" t="s">
        <v>119</v>
      </c>
      <c r="F27" s="132" t="s">
        <v>320</v>
      </c>
      <c r="G27" s="132" t="s">
        <v>119</v>
      </c>
      <c r="H27" s="132" t="s">
        <v>145</v>
      </c>
      <c r="I27" s="132" t="s">
        <v>119</v>
      </c>
      <c r="J27" s="131" t="s">
        <v>348</v>
      </c>
      <c r="K27" s="140">
        <v>0.245</v>
      </c>
      <c r="L27" s="141">
        <v>0.123</v>
      </c>
      <c r="M27" s="625">
        <v>0</v>
      </c>
      <c r="N27" s="129">
        <v>0</v>
      </c>
      <c r="O27" s="132" t="s">
        <v>145</v>
      </c>
      <c r="P27" s="133" t="s">
        <v>145</v>
      </c>
      <c r="Q27" s="134">
        <v>1</v>
      </c>
      <c r="R27" s="132" t="s">
        <v>119</v>
      </c>
      <c r="S27" s="135" t="s">
        <v>349</v>
      </c>
      <c r="T27" s="65" t="s">
        <v>109</v>
      </c>
      <c r="U27" s="81" t="s">
        <v>109</v>
      </c>
      <c r="V27" s="151" t="s">
        <v>109</v>
      </c>
    </row>
    <row r="28" spans="1:22" ht="22.8" x14ac:dyDescent="0.25">
      <c r="A28" s="124" t="s">
        <v>920</v>
      </c>
      <c r="B28" s="146" t="s">
        <v>919</v>
      </c>
      <c r="C28" s="404" t="s">
        <v>109</v>
      </c>
      <c r="D28" s="56" t="s">
        <v>320</v>
      </c>
      <c r="E28" s="404" t="s">
        <v>320</v>
      </c>
      <c r="F28" s="404" t="s">
        <v>320</v>
      </c>
      <c r="G28" s="404" t="s">
        <v>145</v>
      </c>
      <c r="H28" s="404" t="s">
        <v>145</v>
      </c>
      <c r="I28" s="404" t="s">
        <v>145</v>
      </c>
      <c r="J28" s="125" t="s">
        <v>321</v>
      </c>
      <c r="K28" s="126">
        <f>193*52/'Average wages'!B18</f>
        <v>0.2134831724530333</v>
      </c>
      <c r="L28" s="411">
        <f>128.1*52/'Average wages'!B18</f>
        <v>0.14169530772659877</v>
      </c>
      <c r="M28" s="411">
        <f>29.8*52/'Average wages'!B18</f>
        <v>3.2962686731090117E-2</v>
      </c>
      <c r="N28" s="411">
        <f>M28</f>
        <v>3.2962686731090117E-2</v>
      </c>
      <c r="O28" s="404" t="s">
        <v>145</v>
      </c>
      <c r="P28" s="56" t="str">
        <f>"EUR 20 per day up to 3 days per week (maximum "&amp;TEXT(60*52*100/'Average wages'!B18,0)&amp;"% of AW)."</f>
        <v>EUR 20 per day up to 3 days per week (maximum 7% of AW).</v>
      </c>
      <c r="Q28" s="469">
        <v>0.6</v>
      </c>
      <c r="R28" s="404" t="s">
        <v>320</v>
      </c>
      <c r="S28" s="405" t="s">
        <v>145</v>
      </c>
      <c r="T28" s="65" t="s">
        <v>1225</v>
      </c>
      <c r="U28" s="81" t="s">
        <v>109</v>
      </c>
      <c r="V28" s="151" t="s">
        <v>109</v>
      </c>
    </row>
    <row r="29" spans="1:22" ht="130.94999999999999" customHeight="1" x14ac:dyDescent="0.25">
      <c r="A29" s="124" t="s">
        <v>74</v>
      </c>
      <c r="B29" s="156" t="s">
        <v>350</v>
      </c>
      <c r="C29" s="404">
        <v>20</v>
      </c>
      <c r="D29" s="56" t="s">
        <v>320</v>
      </c>
      <c r="E29" s="404" t="s">
        <v>320</v>
      </c>
      <c r="F29" s="404" t="s">
        <v>320</v>
      </c>
      <c r="G29" s="404" t="s">
        <v>145</v>
      </c>
      <c r="H29" s="404" t="s">
        <v>145</v>
      </c>
      <c r="I29" s="404" t="s">
        <v>351</v>
      </c>
      <c r="J29" s="125" t="s">
        <v>321</v>
      </c>
      <c r="K29" s="126">
        <f>0.2*8648*12/'Average wages'!B19</f>
        <v>0.13555309889379411</v>
      </c>
      <c r="L29" s="411">
        <f>(0.275*8648*12-0.2*8648*12)/'Average wages'!B19</f>
        <v>5.0832412085172793E-2</v>
      </c>
      <c r="M29" s="411">
        <f>(0.335*8648*12-0.275*8648*12)/2/'Average wages'!B19</f>
        <v>2.0332964834069132E-2</v>
      </c>
      <c r="N29" s="411">
        <f>(0.39*8648*12-0.2*8648*12)/2/'Average wages'!B19</f>
        <v>6.4387721974552198E-2</v>
      </c>
      <c r="O29" s="404" t="s">
        <v>145</v>
      </c>
      <c r="P29" s="56" t="str">
        <f>"ILS 463/month ("&amp;TEXT(463*12*100/'Average wages'!B19,0)&amp;"% of AW) for single people without dependents aged under 55, ILS 648/month ("&amp;TEXT(648*12*100/'Average wages'!B19,0)&amp;"% of AW) for those aged under 55 with dependents, ILS 1204/month ("&amp;TEXT(1204*12*100/'Average wages'!B19,0)&amp;"% of AW) for single people without dependents aged 55 and over, ILS 1574/month ("&amp;TEXT(1574*12*100/'Average wages'!B19,0)&amp;"% of AW) for those aged 55 and over with dependents"</f>
        <v>ILS 463/month (4% of AW) for single people without dependents aged under 55, ILS 648/month (5% of AW) for those aged under 55 with dependents, ILS 1204/month (9% of AW) for single people without dependents aged 55 and over, ILS 1574/month (12% of AW) for those aged 55 and over with dependents</v>
      </c>
      <c r="Q29" s="469" t="s">
        <v>1214</v>
      </c>
      <c r="R29" s="404" t="s">
        <v>119</v>
      </c>
      <c r="S29" s="405" t="s">
        <v>352</v>
      </c>
      <c r="T29" s="404" t="s">
        <v>1226</v>
      </c>
      <c r="U29" s="81" t="s">
        <v>109</v>
      </c>
      <c r="V29" s="151" t="s">
        <v>109</v>
      </c>
    </row>
    <row r="30" spans="1:22" ht="129" customHeight="1" x14ac:dyDescent="0.25">
      <c r="A30" s="124" t="s">
        <v>75</v>
      </c>
      <c r="B30" s="152" t="s">
        <v>1169</v>
      </c>
      <c r="C30" s="404" t="s">
        <v>109</v>
      </c>
      <c r="D30" s="56" t="s">
        <v>320</v>
      </c>
      <c r="E30" s="404" t="s">
        <v>320</v>
      </c>
      <c r="F30" s="404" t="s">
        <v>320</v>
      </c>
      <c r="G30" s="404" t="s">
        <v>145</v>
      </c>
      <c r="H30" s="404" t="s">
        <v>145</v>
      </c>
      <c r="I30" s="65" t="s">
        <v>1179</v>
      </c>
      <c r="J30" s="125" t="s">
        <v>321</v>
      </c>
      <c r="K30" s="508">
        <f>0.75*3000/'Average wages'!B20</f>
        <v>7.224573349130943E-2</v>
      </c>
      <c r="L30" s="129">
        <f>(0.75*3000*2^0.65-0.75*3000)/'Average wages'!B20</f>
        <v>4.1119973785026742E-2</v>
      </c>
      <c r="M30" s="129">
        <f>0.5*(0.75*3000*4^0.65-0.75*3000*2^0.65)/'Average wages'!B20</f>
        <v>3.226207753766324E-2</v>
      </c>
      <c r="N30" s="129">
        <f xml:space="preserve"> (0.75*3000*2^0.65-0.75*3000)/'Average wages'!B20</f>
        <v>4.1119973785026742E-2</v>
      </c>
      <c r="O30" s="474" t="s">
        <v>145</v>
      </c>
      <c r="P30" s="56" t="s">
        <v>145</v>
      </c>
      <c r="Q30" s="469">
        <v>1</v>
      </c>
      <c r="R30" s="404" t="s">
        <v>320</v>
      </c>
      <c r="S30" s="405" t="s">
        <v>1222</v>
      </c>
      <c r="T30" s="404" t="s">
        <v>1227</v>
      </c>
      <c r="U30" s="81" t="s">
        <v>109</v>
      </c>
      <c r="V30" s="151" t="s">
        <v>109</v>
      </c>
    </row>
    <row r="31" spans="1:22" ht="102.6" x14ac:dyDescent="0.25">
      <c r="A31" s="142" t="s">
        <v>311</v>
      </c>
      <c r="B31" s="156" t="s">
        <v>353</v>
      </c>
      <c r="C31" s="65" t="s">
        <v>109</v>
      </c>
      <c r="D31" s="72" t="s">
        <v>119</v>
      </c>
      <c r="E31" s="65" t="s">
        <v>119</v>
      </c>
      <c r="F31" s="65" t="s">
        <v>119</v>
      </c>
      <c r="G31" s="65" t="s">
        <v>119</v>
      </c>
      <c r="H31" s="65" t="s">
        <v>119</v>
      </c>
      <c r="I31" s="65" t="s">
        <v>119</v>
      </c>
      <c r="J31" s="152" t="s">
        <v>329</v>
      </c>
      <c r="K31" s="153">
        <f>963660/'Average wages'!B21</f>
        <v>0.18366954653446294</v>
      </c>
      <c r="L31" s="154">
        <f>(1447572-963660)/'Average wages'!B21</f>
        <v>9.2231593718308358E-2</v>
      </c>
      <c r="M31" s="154">
        <f>0.5*(2363671-1447572)/'Average wages'!B21</f>
        <v>8.7302309896994251E-2</v>
      </c>
      <c r="N31" s="154">
        <f>0.5*(2295875.8-963660)/'Average wages'!B21</f>
        <v>0.12695736663971044</v>
      </c>
      <c r="O31" s="65" t="s">
        <v>354</v>
      </c>
      <c r="P31" s="72" t="str">
        <f>"JPY 15,200/month ("&amp;TEXT(15200*12*100/'Average wages'!B21,0)&amp;"% of AW)"</f>
        <v>JPY 15,200/month (3% of AW)</v>
      </c>
      <c r="Q31" s="64" t="str">
        <f>"100% between disregard level and JPY 19,000 per month ("&amp;TEXT(19000*12*100/'Average wages'!B21,0)&amp;"% of AW)
90% above this level"</f>
        <v>100% between disregard level and JPY 19,000 per month (4% of AW)
90% above this level</v>
      </c>
      <c r="R31" s="65" t="s">
        <v>320</v>
      </c>
      <c r="S31" s="66" t="s">
        <v>936</v>
      </c>
      <c r="T31" s="65" t="s">
        <v>1228</v>
      </c>
      <c r="U31" s="81" t="s">
        <v>109</v>
      </c>
      <c r="V31" s="151" t="s">
        <v>109</v>
      </c>
    </row>
    <row r="32" spans="1:22" ht="45.6" x14ac:dyDescent="0.25">
      <c r="A32" s="124" t="s">
        <v>77</v>
      </c>
      <c r="B32" s="146" t="s">
        <v>948</v>
      </c>
      <c r="C32" s="404" t="s">
        <v>119</v>
      </c>
      <c r="D32" s="56" t="s">
        <v>320</v>
      </c>
      <c r="E32" s="404" t="s">
        <v>320</v>
      </c>
      <c r="F32" s="404" t="s">
        <v>320</v>
      </c>
      <c r="G32" s="404" t="s">
        <v>145</v>
      </c>
      <c r="H32" s="404" t="s">
        <v>1180</v>
      </c>
      <c r="I32" s="404" t="s">
        <v>145</v>
      </c>
      <c r="J32" s="125" t="s">
        <v>321</v>
      </c>
      <c r="K32" s="126">
        <v>0.11899999999999999</v>
      </c>
      <c r="L32" s="411">
        <v>8.4000000000000005E-2</v>
      </c>
      <c r="M32" s="411">
        <v>0.06</v>
      </c>
      <c r="N32" s="411">
        <v>0.106</v>
      </c>
      <c r="O32" s="404" t="s">
        <v>355</v>
      </c>
      <c r="P32" s="56" t="s">
        <v>356</v>
      </c>
      <c r="Q32" s="469" t="s">
        <v>1215</v>
      </c>
      <c r="R32" s="404" t="s">
        <v>320</v>
      </c>
      <c r="S32" s="405" t="s">
        <v>357</v>
      </c>
      <c r="T32" s="65" t="s">
        <v>109</v>
      </c>
      <c r="U32" s="81" t="s">
        <v>109</v>
      </c>
      <c r="V32" s="151" t="s">
        <v>109</v>
      </c>
    </row>
    <row r="33" spans="1:22" ht="91.2" x14ac:dyDescent="0.25">
      <c r="A33" s="145" t="s">
        <v>94</v>
      </c>
      <c r="B33" s="147" t="s">
        <v>380</v>
      </c>
      <c r="C33" s="404" t="s">
        <v>119</v>
      </c>
      <c r="D33" s="56" t="s">
        <v>320</v>
      </c>
      <c r="E33" s="404" t="s">
        <v>119</v>
      </c>
      <c r="F33" s="404" t="s">
        <v>320</v>
      </c>
      <c r="G33" s="404" t="s">
        <v>145</v>
      </c>
      <c r="H33" s="404" t="s">
        <v>145</v>
      </c>
      <c r="I33" s="404" t="s">
        <v>145</v>
      </c>
      <c r="J33" s="125" t="s">
        <v>781</v>
      </c>
      <c r="K33" s="508" t="s">
        <v>782</v>
      </c>
      <c r="L33" s="129" t="s">
        <v>782</v>
      </c>
      <c r="M33" s="129" t="s">
        <v>783</v>
      </c>
      <c r="N33" s="129" t="s">
        <v>783</v>
      </c>
      <c r="O33" s="404" t="s">
        <v>878</v>
      </c>
      <c r="P33" s="56" t="s">
        <v>900</v>
      </c>
      <c r="Q33" s="469">
        <v>1</v>
      </c>
      <c r="R33" s="404" t="s">
        <v>320</v>
      </c>
      <c r="S33" s="405" t="s">
        <v>786</v>
      </c>
      <c r="T33" s="65" t="s">
        <v>109</v>
      </c>
      <c r="U33" s="65" t="s">
        <v>109</v>
      </c>
      <c r="V33" s="66" t="s">
        <v>109</v>
      </c>
    </row>
    <row r="34" spans="1:22" ht="136.80000000000001" x14ac:dyDescent="0.25">
      <c r="A34" s="159" t="s">
        <v>95</v>
      </c>
      <c r="B34" s="156" t="s">
        <v>889</v>
      </c>
      <c r="C34" s="65" t="s">
        <v>119</v>
      </c>
      <c r="D34" s="72" t="s">
        <v>320</v>
      </c>
      <c r="E34" s="65" t="s">
        <v>320</v>
      </c>
      <c r="F34" s="65" t="s">
        <v>320</v>
      </c>
      <c r="G34" s="65" t="s">
        <v>145</v>
      </c>
      <c r="H34" s="65" t="s">
        <v>1181</v>
      </c>
      <c r="I34" s="65" t="s">
        <v>145</v>
      </c>
      <c r="J34" s="152" t="s">
        <v>321</v>
      </c>
      <c r="K34" s="153">
        <v>0.13400000000000001</v>
      </c>
      <c r="L34" s="154">
        <v>0.108</v>
      </c>
      <c r="M34" s="154">
        <v>9.4E-2</v>
      </c>
      <c r="N34" s="154">
        <v>0.10100000000000001</v>
      </c>
      <c r="O34" s="65" t="s">
        <v>890</v>
      </c>
      <c r="P34" s="72" t="s">
        <v>1045</v>
      </c>
      <c r="Q34" s="64" t="s">
        <v>892</v>
      </c>
      <c r="R34" s="65" t="s">
        <v>320</v>
      </c>
      <c r="S34" s="66" t="s">
        <v>381</v>
      </c>
      <c r="T34" s="65" t="s">
        <v>109</v>
      </c>
      <c r="U34" s="65" t="s">
        <v>893</v>
      </c>
      <c r="V34" s="66" t="s">
        <v>109</v>
      </c>
    </row>
    <row r="35" spans="1:22" ht="34.200000000000003" x14ac:dyDescent="0.25">
      <c r="A35" s="124" t="s">
        <v>654</v>
      </c>
      <c r="B35" s="146" t="s">
        <v>358</v>
      </c>
      <c r="C35" s="404" t="s">
        <v>1171</v>
      </c>
      <c r="D35" s="56" t="s">
        <v>320</v>
      </c>
      <c r="E35" s="404" t="s">
        <v>320</v>
      </c>
      <c r="F35" s="404" t="s">
        <v>320</v>
      </c>
      <c r="G35" s="404" t="s">
        <v>320</v>
      </c>
      <c r="H35" s="404" t="s">
        <v>145</v>
      </c>
      <c r="I35" s="404" t="s">
        <v>145</v>
      </c>
      <c r="J35" s="125" t="s">
        <v>321</v>
      </c>
      <c r="K35" s="126">
        <v>0.30199482846085707</v>
      </c>
      <c r="L35" s="141">
        <v>0.14774184378369085</v>
      </c>
      <c r="M35" s="411">
        <v>3.1103651763495513E-2</v>
      </c>
      <c r="N35" s="411">
        <v>3.2609930501961426E-2</v>
      </c>
      <c r="O35" s="404" t="s">
        <v>1197</v>
      </c>
      <c r="P35" s="56" t="s">
        <v>145</v>
      </c>
      <c r="Q35" s="469">
        <v>0.7</v>
      </c>
      <c r="R35" s="404" t="s">
        <v>320</v>
      </c>
      <c r="S35" s="405" t="s">
        <v>367</v>
      </c>
      <c r="T35" s="65" t="s">
        <v>109</v>
      </c>
      <c r="U35" s="81" t="s">
        <v>109</v>
      </c>
      <c r="V35" s="151" t="s">
        <v>109</v>
      </c>
    </row>
    <row r="36" spans="1:22" ht="57" x14ac:dyDescent="0.25">
      <c r="A36" s="124" t="s">
        <v>79</v>
      </c>
      <c r="B36" s="156" t="s">
        <v>997</v>
      </c>
      <c r="C36" s="65" t="s">
        <v>1172</v>
      </c>
      <c r="D36" s="72" t="s">
        <v>320</v>
      </c>
      <c r="E36" s="65" t="s">
        <v>320</v>
      </c>
      <c r="F36" s="65" t="s">
        <v>320</v>
      </c>
      <c r="G36" s="65" t="s">
        <v>145</v>
      </c>
      <c r="H36" s="65" t="s">
        <v>145</v>
      </c>
      <c r="I36" s="65" t="s">
        <v>1182</v>
      </c>
      <c r="J36" s="152" t="s">
        <v>321</v>
      </c>
      <c r="K36" s="153">
        <f>11905/'Average wages'!B25</f>
        <v>0.22792183311098207</v>
      </c>
      <c r="L36" s="154">
        <f>(17008-11905)/'Average wages'!B25</f>
        <v>9.7697195662775432E-2</v>
      </c>
      <c r="M36" s="154">
        <f>(17008-17008)/2*12/'Average wages'!B25</f>
        <v>0</v>
      </c>
      <c r="N36" s="154">
        <f>(11905-11905)/'Average wages'!B25</f>
        <v>0</v>
      </c>
      <c r="O36" s="65" t="s">
        <v>1198</v>
      </c>
      <c r="P36" s="72" t="str">
        <f>"None in general; municipality may grant disregard of 25% of earnings up to a maximum of EUR 202 per month ("&amp;TEXT(100*202*12/'Average wages'!B25,0)&amp;"% of AW) in first 6 months in new job"</f>
        <v>None in general; municipality may grant disregard of 25% of earnings up to a maximum of EUR 202 per month (5% of AW) in first 6 months in new job</v>
      </c>
      <c r="Q36" s="64">
        <v>1</v>
      </c>
      <c r="R36" s="65" t="s">
        <v>320</v>
      </c>
      <c r="S36" s="66" t="s">
        <v>359</v>
      </c>
      <c r="T36" s="65" t="s">
        <v>1229</v>
      </c>
      <c r="U36" s="65" t="s">
        <v>109</v>
      </c>
      <c r="V36" s="66" t="s">
        <v>109</v>
      </c>
    </row>
    <row r="37" spans="1:22" ht="57" x14ac:dyDescent="0.25">
      <c r="A37" s="128" t="s">
        <v>312</v>
      </c>
      <c r="B37" s="62" t="s">
        <v>974</v>
      </c>
      <c r="C37" s="125">
        <v>18</v>
      </c>
      <c r="D37" s="56" t="s">
        <v>119</v>
      </c>
      <c r="E37" s="404" t="s">
        <v>320</v>
      </c>
      <c r="F37" s="404" t="s">
        <v>360</v>
      </c>
      <c r="G37" s="404" t="s">
        <v>145</v>
      </c>
      <c r="H37" s="404" t="s">
        <v>145</v>
      </c>
      <c r="I37" s="404" t="s">
        <v>1183</v>
      </c>
      <c r="J37" s="125" t="s">
        <v>321</v>
      </c>
      <c r="K37" s="126">
        <v>0.193</v>
      </c>
      <c r="L37" s="466">
        <v>0.128</v>
      </c>
      <c r="M37" s="411">
        <v>1.0999999999999999E-2</v>
      </c>
      <c r="N37" s="411">
        <v>5.7000000000000002E-2</v>
      </c>
      <c r="O37" s="404" t="s">
        <v>975</v>
      </c>
      <c r="P37" s="56" t="s">
        <v>1204</v>
      </c>
      <c r="Q37" s="469">
        <v>0.7</v>
      </c>
      <c r="R37" s="404" t="s">
        <v>119</v>
      </c>
      <c r="S37" s="405" t="s">
        <v>145</v>
      </c>
      <c r="T37" s="465" t="s">
        <v>1230</v>
      </c>
      <c r="U37" s="65" t="s">
        <v>109</v>
      </c>
      <c r="V37" s="66" t="s">
        <v>109</v>
      </c>
    </row>
    <row r="38" spans="1:22" ht="34.200000000000003" x14ac:dyDescent="0.25">
      <c r="A38" s="128" t="s">
        <v>1056</v>
      </c>
      <c r="B38" s="146" t="s">
        <v>1005</v>
      </c>
      <c r="C38" s="404" t="s">
        <v>109</v>
      </c>
      <c r="D38" s="56" t="s">
        <v>320</v>
      </c>
      <c r="E38" s="404" t="s">
        <v>320</v>
      </c>
      <c r="F38" s="404" t="s">
        <v>320</v>
      </c>
      <c r="G38" s="404" t="s">
        <v>320</v>
      </c>
      <c r="H38" s="404" t="s">
        <v>145</v>
      </c>
      <c r="I38" s="404" t="s">
        <v>361</v>
      </c>
      <c r="J38" s="125" t="s">
        <v>1188</v>
      </c>
      <c r="K38" s="153">
        <f>6050*12/'Average wages'!B27</f>
        <v>0.12139154429906317</v>
      </c>
      <c r="L38" s="154">
        <f>(10100-6050)*12/'Average wages'!B27</f>
        <v>8.1262108167141453E-2</v>
      </c>
      <c r="M38" s="154">
        <f>(10100+2350+3050-10100)/2*12/'Average wages'!B27</f>
        <v>5.4174738778094304E-2</v>
      </c>
      <c r="N38" s="127">
        <f>(6050+2350+3050-6050)/2*12/'Average wages'!B27</f>
        <v>5.4174738778094304E-2</v>
      </c>
      <c r="O38" s="404" t="s">
        <v>1199</v>
      </c>
      <c r="P38" s="56" t="s">
        <v>145</v>
      </c>
      <c r="Q38" s="469">
        <v>1</v>
      </c>
      <c r="R38" s="404" t="s">
        <v>320</v>
      </c>
      <c r="S38" s="405" t="s">
        <v>324</v>
      </c>
      <c r="T38" s="404" t="s">
        <v>1224</v>
      </c>
      <c r="U38" s="65" t="s">
        <v>109</v>
      </c>
      <c r="V38" s="66" t="s">
        <v>109</v>
      </c>
    </row>
    <row r="39" spans="1:22" ht="45.6" x14ac:dyDescent="0.25">
      <c r="A39" s="124" t="s">
        <v>313</v>
      </c>
      <c r="B39" s="156" t="s">
        <v>362</v>
      </c>
      <c r="C39" s="65">
        <v>18</v>
      </c>
      <c r="D39" s="72" t="s">
        <v>320</v>
      </c>
      <c r="E39" s="65" t="s">
        <v>320</v>
      </c>
      <c r="F39" s="65" t="s">
        <v>320</v>
      </c>
      <c r="G39" s="65" t="s">
        <v>320</v>
      </c>
      <c r="H39" s="65" t="s">
        <v>145</v>
      </c>
      <c r="I39" s="65" t="s">
        <v>119</v>
      </c>
      <c r="J39" s="152" t="s">
        <v>321</v>
      </c>
      <c r="K39" s="153">
        <v>0.14000000000000001</v>
      </c>
      <c r="L39" s="154">
        <v>8.6999999999999994E-2</v>
      </c>
      <c r="M39" s="154">
        <v>0.114</v>
      </c>
      <c r="N39" s="154">
        <v>0.1</v>
      </c>
      <c r="O39" s="65" t="s">
        <v>363</v>
      </c>
      <c r="P39" s="72" t="s">
        <v>1205</v>
      </c>
      <c r="Q39" s="64" t="s">
        <v>1216</v>
      </c>
      <c r="R39" s="65" t="s">
        <v>320</v>
      </c>
      <c r="S39" s="66" t="s">
        <v>914</v>
      </c>
      <c r="T39" s="65" t="s">
        <v>109</v>
      </c>
      <c r="U39" s="65" t="s">
        <v>109</v>
      </c>
      <c r="V39" s="66" t="s">
        <v>109</v>
      </c>
    </row>
    <row r="40" spans="1:22" ht="68.400000000000006" x14ac:dyDescent="0.25">
      <c r="A40" s="124" t="s">
        <v>82</v>
      </c>
      <c r="B40" s="146" t="s">
        <v>364</v>
      </c>
      <c r="C40" s="404" t="s">
        <v>1170</v>
      </c>
      <c r="D40" s="56" t="s">
        <v>320</v>
      </c>
      <c r="E40" s="404" t="s">
        <v>320</v>
      </c>
      <c r="F40" s="404" t="s">
        <v>320</v>
      </c>
      <c r="G40" s="404" t="s">
        <v>145</v>
      </c>
      <c r="H40" s="404" t="s">
        <v>365</v>
      </c>
      <c r="I40" s="404" t="s">
        <v>366</v>
      </c>
      <c r="J40" s="125" t="s">
        <v>321</v>
      </c>
      <c r="K40" s="126">
        <f>186.68*12/'Average wages'!B29</f>
        <v>0.12335491772552144</v>
      </c>
      <c r="L40" s="411">
        <f>K40*0.7</f>
        <v>8.6348442407865003E-2</v>
      </c>
      <c r="M40" s="411">
        <f>K40*0.5</f>
        <v>6.1677458862760721E-2</v>
      </c>
      <c r="N40" s="411">
        <f>M40</f>
        <v>6.1677458862760721E-2</v>
      </c>
      <c r="O40" s="404" t="s">
        <v>145</v>
      </c>
      <c r="P40" s="56" t="s">
        <v>145</v>
      </c>
      <c r="Q40" s="469" t="s">
        <v>1217</v>
      </c>
      <c r="R40" s="404" t="s">
        <v>320</v>
      </c>
      <c r="S40" s="405" t="s">
        <v>367</v>
      </c>
      <c r="T40" s="65" t="s">
        <v>109</v>
      </c>
      <c r="U40" s="65" t="s">
        <v>109</v>
      </c>
      <c r="V40" s="66" t="s">
        <v>109</v>
      </c>
    </row>
    <row r="41" spans="1:22" ht="45.6" x14ac:dyDescent="0.25">
      <c r="A41" s="128" t="s">
        <v>314</v>
      </c>
      <c r="B41" s="413" t="s">
        <v>809</v>
      </c>
      <c r="C41" s="404" t="s">
        <v>109</v>
      </c>
      <c r="D41" s="56" t="s">
        <v>145</v>
      </c>
      <c r="E41" s="404" t="s">
        <v>145</v>
      </c>
      <c r="F41" s="404" t="s">
        <v>145</v>
      </c>
      <c r="G41" s="404" t="s">
        <v>145</v>
      </c>
      <c r="H41" s="404" t="s">
        <v>145</v>
      </c>
      <c r="I41" s="404" t="s">
        <v>145</v>
      </c>
      <c r="J41" s="125" t="s">
        <v>321</v>
      </c>
      <c r="K41" s="126">
        <f>61.6*12/'Average wages'!B30</f>
        <v>6.1786759437305432E-2</v>
      </c>
      <c r="L41" s="411">
        <f>(107.1-61.6)*12/'Average wages'!B30</f>
        <v>4.563794731164604E-2</v>
      </c>
      <c r="M41" s="411">
        <f>((160.4-107.1+17.2)/2)*12/'Average wages'!B30</f>
        <v>3.5356871268912612E-2</v>
      </c>
      <c r="N41" s="411">
        <f>((117.2-61.6+17.2)/2)*12/'Average wages'!B30</f>
        <v>3.6510357849316839E-2</v>
      </c>
      <c r="O41" s="404" t="s">
        <v>810</v>
      </c>
      <c r="P41" s="56" t="s">
        <v>145</v>
      </c>
      <c r="Q41" s="469">
        <v>0.75</v>
      </c>
      <c r="R41" s="404" t="s">
        <v>320</v>
      </c>
      <c r="S41" s="405" t="s">
        <v>812</v>
      </c>
      <c r="T41" s="65" t="s">
        <v>109</v>
      </c>
      <c r="U41" s="65" t="s">
        <v>109</v>
      </c>
      <c r="V41" s="66" t="s">
        <v>109</v>
      </c>
    </row>
    <row r="42" spans="1:22" ht="79.8" x14ac:dyDescent="0.25">
      <c r="A42" s="128" t="s">
        <v>84</v>
      </c>
      <c r="B42" s="146" t="s">
        <v>368</v>
      </c>
      <c r="C42" s="404" t="s">
        <v>109</v>
      </c>
      <c r="D42" s="56" t="s">
        <v>320</v>
      </c>
      <c r="E42" s="404" t="s">
        <v>145</v>
      </c>
      <c r="F42" s="404" t="s">
        <v>320</v>
      </c>
      <c r="G42" s="404" t="s">
        <v>145</v>
      </c>
      <c r="H42" s="404" t="s">
        <v>145</v>
      </c>
      <c r="I42" s="404" t="s">
        <v>323</v>
      </c>
      <c r="J42" s="125" t="s">
        <v>321</v>
      </c>
      <c r="K42" s="126">
        <f>297.53*12/'Average wages'!B31</f>
        <v>0.1809580595036053</v>
      </c>
      <c r="L42" s="411">
        <f>169.59*12/'Average wages'!B31</f>
        <v>0.10314481669484228</v>
      </c>
      <c r="M42" s="411">
        <f>((226.12+196.37)/2)*12/'Average wages'!B31</f>
        <v>0.12847943158618999</v>
      </c>
      <c r="N42" s="411">
        <f>M42+59.51*12/'Average wages'!B31</f>
        <v>0.1646734762911258</v>
      </c>
      <c r="O42" s="404" t="s">
        <v>145</v>
      </c>
      <c r="P42" s="56" t="s">
        <v>1206</v>
      </c>
      <c r="Q42" s="469">
        <v>1</v>
      </c>
      <c r="R42" s="404" t="s">
        <v>320</v>
      </c>
      <c r="S42" s="405" t="s">
        <v>794</v>
      </c>
      <c r="T42" s="404" t="s">
        <v>109</v>
      </c>
      <c r="U42" s="65" t="s">
        <v>109</v>
      </c>
      <c r="V42" s="405" t="s">
        <v>1235</v>
      </c>
    </row>
    <row r="43" spans="1:22" ht="22.8" x14ac:dyDescent="0.25">
      <c r="A43" s="128" t="s">
        <v>315</v>
      </c>
      <c r="B43" s="146" t="s">
        <v>981</v>
      </c>
      <c r="C43" s="404">
        <v>26</v>
      </c>
      <c r="D43" s="56" t="s">
        <v>320</v>
      </c>
      <c r="E43" s="404" t="s">
        <v>320</v>
      </c>
      <c r="F43" s="404" t="s">
        <v>320</v>
      </c>
      <c r="G43" s="404" t="s">
        <v>145</v>
      </c>
      <c r="H43" s="404" t="s">
        <v>145</v>
      </c>
      <c r="I43" s="404" t="s">
        <v>145</v>
      </c>
      <c r="J43" s="125" t="s">
        <v>329</v>
      </c>
      <c r="K43" s="126">
        <v>0.17899999999999999</v>
      </c>
      <c r="L43" s="411">
        <v>0.05</v>
      </c>
      <c r="M43" s="411">
        <v>3.4000000000000002E-2</v>
      </c>
      <c r="N43" s="411">
        <v>4.2000000000000003E-2</v>
      </c>
      <c r="O43" s="404" t="s">
        <v>145</v>
      </c>
      <c r="P43" s="56" t="s">
        <v>145</v>
      </c>
      <c r="Q43" s="469">
        <v>1</v>
      </c>
      <c r="R43" s="404" t="s">
        <v>320</v>
      </c>
      <c r="S43" s="405" t="s">
        <v>369</v>
      </c>
      <c r="T43" s="65" t="s">
        <v>109</v>
      </c>
      <c r="U43" s="65" t="s">
        <v>109</v>
      </c>
      <c r="V43" s="66" t="s">
        <v>109</v>
      </c>
    </row>
    <row r="44" spans="1:22" ht="34.200000000000003" x14ac:dyDescent="0.25">
      <c r="A44" s="124" t="s">
        <v>86</v>
      </c>
      <c r="B44" s="156" t="s">
        <v>370</v>
      </c>
      <c r="C44" s="65" t="s">
        <v>109</v>
      </c>
      <c r="D44" s="72" t="s">
        <v>320</v>
      </c>
      <c r="E44" s="65" t="s">
        <v>320</v>
      </c>
      <c r="F44" s="65" t="s">
        <v>320</v>
      </c>
      <c r="G44" s="65" t="s">
        <v>145</v>
      </c>
      <c r="H44" s="65" t="s">
        <v>145</v>
      </c>
      <c r="I44" s="65" t="s">
        <v>1184</v>
      </c>
      <c r="J44" s="152" t="s">
        <v>321</v>
      </c>
      <c r="K44" s="153">
        <f>(3030+970)*12/'Average wages'!B33</f>
        <v>0.10677049707452117</v>
      </c>
      <c r="L44" s="154">
        <f>(5460-3030+1080-970)*12/'Average wages'!B33</f>
        <v>6.7799265642320944E-2</v>
      </c>
      <c r="M44" s="154">
        <f>(2080+(1540-1080)/2)*12/'Average wages'!B33</f>
        <v>6.1659962060535978E-2</v>
      </c>
      <c r="N44" s="462">
        <f>(2080+(1350-970)/2)*12/'Average wages'!B33</f>
        <v>6.0592257089790762E-2</v>
      </c>
      <c r="O44" s="65" t="s">
        <v>371</v>
      </c>
      <c r="P44" s="72" t="s">
        <v>145</v>
      </c>
      <c r="Q44" s="64" t="s">
        <v>1218</v>
      </c>
      <c r="R44" s="65" t="s">
        <v>320</v>
      </c>
      <c r="S44" s="66" t="s">
        <v>966</v>
      </c>
      <c r="T44" s="65" t="s">
        <v>967</v>
      </c>
      <c r="U44" s="65" t="s">
        <v>968</v>
      </c>
      <c r="V44" s="66" t="s">
        <v>109</v>
      </c>
    </row>
    <row r="45" spans="1:22" ht="68.400000000000006" x14ac:dyDescent="0.25">
      <c r="A45" s="128" t="s">
        <v>316</v>
      </c>
      <c r="B45" s="146" t="s">
        <v>1060</v>
      </c>
      <c r="C45" s="404" t="s">
        <v>119</v>
      </c>
      <c r="D45" s="56" t="s">
        <v>320</v>
      </c>
      <c r="E45" s="404" t="s">
        <v>320</v>
      </c>
      <c r="F45" s="404" t="s">
        <v>320</v>
      </c>
      <c r="G45" s="404" t="s">
        <v>145</v>
      </c>
      <c r="H45" s="404" t="s">
        <v>1059</v>
      </c>
      <c r="I45" s="404" t="s">
        <v>1185</v>
      </c>
      <c r="J45" s="125" t="s">
        <v>1189</v>
      </c>
      <c r="K45" s="126">
        <f>11832/'Average wages'!B34</f>
        <v>0.13551882166255494</v>
      </c>
      <c r="L45" s="411">
        <f>(18108-11832)/'Average wages'!B34</f>
        <v>7.188270155123351E-2</v>
      </c>
      <c r="M45" s="411">
        <f>(25320-18108)/2/'Average wages'!B34</f>
        <v>4.1301628711559596E-2</v>
      </c>
      <c r="N45" s="411">
        <f>(22008-11832)/2/'Average wages'!B34</f>
        <v>5.8275842175378602E-2</v>
      </c>
      <c r="O45" s="404" t="s">
        <v>372</v>
      </c>
      <c r="P45" s="56" t="str">
        <f>"CHF 400/month ("&amp;TEXT(100*400*12/'Average wages'!B34,0)&amp;"% of AW) (CHF 850/month per household, "&amp;TEXT(100*850*12/'Average wages'!B34,0)&amp;"% of AW)"</f>
        <v>CHF 400/month (5% of AW) (CHF 850/month per household, 12% of AW)</v>
      </c>
      <c r="Q45" s="469">
        <v>1</v>
      </c>
      <c r="R45" s="404" t="s">
        <v>320</v>
      </c>
      <c r="S45" s="405" t="s">
        <v>373</v>
      </c>
      <c r="T45" s="65" t="s">
        <v>1231</v>
      </c>
      <c r="U45" s="65" t="s">
        <v>109</v>
      </c>
      <c r="V45" s="66" t="s">
        <v>109</v>
      </c>
    </row>
    <row r="46" spans="1:22" ht="79.8" x14ac:dyDescent="0.25">
      <c r="A46" s="128" t="s">
        <v>1054</v>
      </c>
      <c r="B46" s="156" t="str">
        <f>'Unemployment Assistance'!B30</f>
        <v>Jobseeker's Allowance (income-based)</v>
      </c>
      <c r="C46" s="65">
        <v>16</v>
      </c>
      <c r="D46" s="72" t="s">
        <v>320</v>
      </c>
      <c r="E46" s="65" t="s">
        <v>320</v>
      </c>
      <c r="F46" s="65" t="s">
        <v>320</v>
      </c>
      <c r="G46" s="65" t="s">
        <v>320</v>
      </c>
      <c r="H46" s="65" t="s">
        <v>145</v>
      </c>
      <c r="I46" s="65" t="s">
        <v>1186</v>
      </c>
      <c r="J46" s="152" t="s">
        <v>321</v>
      </c>
      <c r="K46" s="153">
        <f>73.1*52/'Average wages'!B36</f>
        <v>9.6844446874898044E-2</v>
      </c>
      <c r="L46" s="154">
        <f>(114.85-73.1)*52/'Average wages'!B36</f>
        <v>5.5311294897770091E-2</v>
      </c>
      <c r="M46" s="154">
        <v>0</v>
      </c>
      <c r="N46" s="154">
        <v>0</v>
      </c>
      <c r="O46" s="65" t="s">
        <v>145</v>
      </c>
      <c r="P46" s="72" t="str">
        <f>"GBP 5/10/20 ("&amp;TEXT(5*52*100/'Average wages'!B36,"0.0")&amp;"/"&amp;TEXT(10*52*100/'Average wages'!B36,"0.0")&amp;"/"&amp;TEXT(20*52*100/'Average wages'!B36,"0.0")&amp;"% of AW) per week for a single/couple/lone parent"</f>
        <v>GBP 5/10/20 (0.7/1.3/2.6% of AW) per week for a single/couple/lone parent</v>
      </c>
      <c r="Q46" s="64" t="s">
        <v>374</v>
      </c>
      <c r="R46" s="65" t="s">
        <v>320</v>
      </c>
      <c r="S46" s="66" t="s">
        <v>352</v>
      </c>
      <c r="T46" s="65" t="str">
        <f>'Unemployment Assistance'!L30</f>
        <v>G: - lower benefit amounts for under 18 years old, and single people without children aged 18 to 24</v>
      </c>
      <c r="U46" s="65" t="s">
        <v>109</v>
      </c>
      <c r="V46" s="66" t="s">
        <v>109</v>
      </c>
    </row>
    <row r="47" spans="1:22" ht="141" customHeight="1" x14ac:dyDescent="0.25">
      <c r="A47" s="142" t="s">
        <v>1055</v>
      </c>
      <c r="B47" s="131" t="s">
        <v>375</v>
      </c>
      <c r="C47" s="132" t="s">
        <v>109</v>
      </c>
      <c r="D47" s="133" t="s">
        <v>145</v>
      </c>
      <c r="E47" s="132" t="s">
        <v>145</v>
      </c>
      <c r="F47" s="132" t="s">
        <v>145</v>
      </c>
      <c r="G47" s="132" t="s">
        <v>145</v>
      </c>
      <c r="H47" s="132" t="s">
        <v>989</v>
      </c>
      <c r="I47" s="132" t="s">
        <v>145</v>
      </c>
      <c r="J47" s="131" t="s">
        <v>321</v>
      </c>
      <c r="K47" s="126">
        <f>192*12/'Average wages'!B37</f>
        <v>4.2356128747041401E-2</v>
      </c>
      <c r="L47" s="154">
        <f>(352-192)*12/'Average wages'!B37</f>
        <v>3.5296773955867833E-2</v>
      </c>
      <c r="M47" s="154">
        <f>(640-352)/2*12/'Average wages'!B37</f>
        <v>3.1767096560281052E-2</v>
      </c>
      <c r="N47" s="154">
        <f>(504-192)/2*12/'Average wages'!B37</f>
        <v>3.4414354606971141E-2</v>
      </c>
      <c r="O47" s="132" t="s">
        <v>145</v>
      </c>
      <c r="P47" s="133" t="str">
        <f>"USD 160/month ("&amp;TEXT(100*160*12/'Average wages'!B37,0)&amp;"% of AW) for households with 3 people or fewer
USD 170/month ("&amp;TEXT(100*170*12/'Average wages'!B37,0)&amp;"% of AW) for 4-person households
USD 199/month ("&amp;TEXT(100*199*12/'Average wages'!B37,0)&amp;"% of AW) for 5-person households
USD 228/month ("&amp;TEXT(100*228*12/'Average wages'!B37,0)&amp;"% of AW) for households of 6 people or more"</f>
        <v>USD 160/month (4% of AW) for households with 3 people or fewer
USD 170/month (4% of AW) for 4-person households
USD 199/month (4% of AW) for 5-person households
USD 228/month (5% of AW) for households of 6 people or more</v>
      </c>
      <c r="Q47" s="134" t="s">
        <v>1219</v>
      </c>
      <c r="R47" s="132" t="s">
        <v>320</v>
      </c>
      <c r="S47" s="135" t="s">
        <v>990</v>
      </c>
      <c r="T47" s="148" t="s">
        <v>109</v>
      </c>
      <c r="U47" s="65" t="s">
        <v>109</v>
      </c>
      <c r="V47" s="66" t="s">
        <v>109</v>
      </c>
    </row>
    <row r="48" spans="1:22" x14ac:dyDescent="0.25">
      <c r="A48" s="144" t="s">
        <v>91</v>
      </c>
      <c r="B48" s="131"/>
      <c r="C48" s="132"/>
      <c r="D48" s="133"/>
      <c r="E48" s="132"/>
      <c r="F48" s="132"/>
      <c r="G48" s="132"/>
      <c r="H48" s="132"/>
      <c r="I48" s="132"/>
      <c r="J48" s="131"/>
      <c r="K48" s="140"/>
      <c r="L48" s="141"/>
      <c r="M48" s="141"/>
      <c r="N48" s="141"/>
      <c r="O48" s="132"/>
      <c r="P48" s="132"/>
      <c r="Q48" s="134"/>
      <c r="R48" s="132"/>
      <c r="S48" s="132"/>
      <c r="T48" s="132"/>
      <c r="U48" s="132"/>
      <c r="V48" s="135"/>
    </row>
    <row r="49" spans="1:22" ht="91.2" x14ac:dyDescent="0.25">
      <c r="A49" s="145" t="s">
        <v>92</v>
      </c>
      <c r="B49" s="156" t="s">
        <v>376</v>
      </c>
      <c r="C49" s="65">
        <v>17</v>
      </c>
      <c r="D49" s="158" t="s">
        <v>320</v>
      </c>
      <c r="E49" s="65" t="s">
        <v>320</v>
      </c>
      <c r="F49" s="65" t="s">
        <v>320</v>
      </c>
      <c r="G49" s="65" t="s">
        <v>119</v>
      </c>
      <c r="H49" s="65" t="s">
        <v>377</v>
      </c>
      <c r="I49" s="65" t="s">
        <v>1187</v>
      </c>
      <c r="J49" s="152" t="s">
        <v>321</v>
      </c>
      <c r="K49" s="153">
        <f>0.73*75*12/'Average wages'!B39</f>
        <v>4.7431850016695191E-2</v>
      </c>
      <c r="L49" s="154">
        <f>0.59*75*12/'Average wages'!B39</f>
        <v>3.8335330835411185E-2</v>
      </c>
      <c r="M49" s="154">
        <f>0.91*75*12/'Average wages'!B39</f>
        <v>5.9127374678346063E-2</v>
      </c>
      <c r="N49" s="462">
        <f>((2*0.91+1-0.73)*75*12)/(2*'Average wages'!B39)</f>
        <v>6.7899018174584228E-2</v>
      </c>
      <c r="O49" s="65" t="s">
        <v>378</v>
      </c>
      <c r="P49" s="72" t="s">
        <v>145</v>
      </c>
      <c r="Q49" s="64">
        <v>1</v>
      </c>
      <c r="R49" s="65" t="s">
        <v>320</v>
      </c>
      <c r="S49" s="66" t="s">
        <v>145</v>
      </c>
      <c r="T49" s="65" t="s">
        <v>109</v>
      </c>
      <c r="U49" s="65" t="s">
        <v>379</v>
      </c>
      <c r="V49" s="66" t="s">
        <v>109</v>
      </c>
    </row>
    <row r="50" spans="1:22" ht="22.8" x14ac:dyDescent="0.25">
      <c r="A50" s="145" t="s">
        <v>93</v>
      </c>
      <c r="B50" s="147" t="s">
        <v>856</v>
      </c>
      <c r="C50" s="404" t="s">
        <v>145</v>
      </c>
      <c r="D50" s="56" t="s">
        <v>320</v>
      </c>
      <c r="E50" s="404" t="s">
        <v>145</v>
      </c>
      <c r="F50" s="404" t="s">
        <v>145</v>
      </c>
      <c r="G50" s="404" t="s">
        <v>145</v>
      </c>
      <c r="H50" s="404" t="s">
        <v>145</v>
      </c>
      <c r="I50" s="404" t="s">
        <v>145</v>
      </c>
      <c r="J50" s="125" t="s">
        <v>321</v>
      </c>
      <c r="K50" s="126">
        <v>9.7000000000000003E-2</v>
      </c>
      <c r="L50" s="411">
        <v>1.9E-2</v>
      </c>
      <c r="M50" s="411">
        <v>3.9E-2</v>
      </c>
      <c r="N50" s="411">
        <v>5.2999999999999999E-2</v>
      </c>
      <c r="O50" s="404" t="s">
        <v>1200</v>
      </c>
      <c r="P50" s="56" t="s">
        <v>145</v>
      </c>
      <c r="Q50" s="469">
        <v>1</v>
      </c>
      <c r="R50" s="404" t="s">
        <v>320</v>
      </c>
      <c r="S50" s="405" t="s">
        <v>857</v>
      </c>
      <c r="T50" s="404" t="s">
        <v>109</v>
      </c>
      <c r="U50" s="65" t="s">
        <v>109</v>
      </c>
      <c r="V50" s="66" t="s">
        <v>109</v>
      </c>
    </row>
    <row r="51" spans="1:22" ht="114.75" customHeight="1" x14ac:dyDescent="0.25">
      <c r="A51" s="145" t="s">
        <v>791</v>
      </c>
      <c r="B51" s="147" t="s">
        <v>883</v>
      </c>
      <c r="C51" s="404" t="s">
        <v>1173</v>
      </c>
      <c r="D51" s="56" t="s">
        <v>320</v>
      </c>
      <c r="E51" s="404" t="s">
        <v>145</v>
      </c>
      <c r="F51" s="404" t="s">
        <v>320</v>
      </c>
      <c r="G51" s="404" t="s">
        <v>145</v>
      </c>
      <c r="H51" s="404" t="s">
        <v>145</v>
      </c>
      <c r="I51" s="404" t="s">
        <v>145</v>
      </c>
      <c r="J51" s="125" t="s">
        <v>321</v>
      </c>
      <c r="K51" s="126">
        <v>0.252</v>
      </c>
      <c r="L51" s="411">
        <v>0.126</v>
      </c>
      <c r="M51" s="411">
        <v>7.4999999999999997E-2</v>
      </c>
      <c r="N51" s="411">
        <v>0</v>
      </c>
      <c r="O51" s="404" t="s">
        <v>1201</v>
      </c>
      <c r="P51" s="56" t="str">
        <f>"EUR 50 per month ("&amp;TEXT(50*12/'Average wages'!B41,"0%")&amp;" of AW)"</f>
        <v>EUR 50 per month (3% of AW)</v>
      </c>
      <c r="Q51" s="469" t="str">
        <f>"60% up to EUR 200/month ("&amp;TEXT(200*12/'Average wages'!B41,"0%")&amp;" of AW)
80% between EUR 200/month and EUR 500/month ("&amp;TEXT(500*12/'Average wages'!B41,"0%")&amp;" of AW)
100% thereafter"</f>
        <v>60% up to EUR 200/month (10% of AW)
80% between EUR 200/month and EUR 500/month (26% of AW)
100% thereafter</v>
      </c>
      <c r="R51" s="404" t="s">
        <v>320</v>
      </c>
      <c r="S51" s="405" t="s">
        <v>884</v>
      </c>
      <c r="T51" s="404" t="s">
        <v>1232</v>
      </c>
      <c r="U51" s="65" t="s">
        <v>109</v>
      </c>
      <c r="V51" s="66" t="s">
        <v>1236</v>
      </c>
    </row>
    <row r="52" spans="1:22" ht="114" x14ac:dyDescent="0.25">
      <c r="A52" s="159" t="s">
        <v>255</v>
      </c>
      <c r="B52" s="156" t="s">
        <v>382</v>
      </c>
      <c r="C52" s="65">
        <v>18</v>
      </c>
      <c r="D52" s="72" t="s">
        <v>320</v>
      </c>
      <c r="E52" s="65" t="s">
        <v>145</v>
      </c>
      <c r="F52" s="65" t="s">
        <v>320</v>
      </c>
      <c r="G52" s="65" t="s">
        <v>145</v>
      </c>
      <c r="H52" s="65" t="s">
        <v>145</v>
      </c>
      <c r="I52" s="65" t="s">
        <v>145</v>
      </c>
      <c r="J52" s="152" t="s">
        <v>321</v>
      </c>
      <c r="K52" s="153">
        <f>6097.24/'Average wages'!B43</f>
        <v>0.26133641935622132</v>
      </c>
      <c r="L52" s="154">
        <f>(6935.52-6097.24)/'Average wages'!B43</f>
        <v>3.5929878702155957E-2</v>
      </c>
      <c r="M52" s="154">
        <f>(7131.12-6935.52)/('Average wages'!B43*2)</f>
        <v>4.1918477562041803E-3</v>
      </c>
      <c r="N52" s="157" t="s">
        <v>1202</v>
      </c>
      <c r="O52" s="65" t="s">
        <v>145</v>
      </c>
      <c r="P52" s="72" t="s">
        <v>145</v>
      </c>
      <c r="Q52" s="64" t="str">
        <f>"100%
Benefit fully withdrawn if earnings above income threshold of EUR 4666 ("&amp;TEXT(4666/'Average wages'!B43,"0%")&amp;" of AW)"</f>
        <v>100%
Benefit fully withdrawn if earnings above income threshold of EUR 4666 (20% of AW)</v>
      </c>
      <c r="R52" s="65" t="s">
        <v>320</v>
      </c>
      <c r="S52" s="66" t="s">
        <v>383</v>
      </c>
      <c r="T52" s="65" t="s">
        <v>109</v>
      </c>
      <c r="U52" s="65" t="s">
        <v>109</v>
      </c>
      <c r="V52" s="66" t="s">
        <v>903</v>
      </c>
    </row>
    <row r="53" spans="1:22" ht="57" x14ac:dyDescent="0.25">
      <c r="A53" s="124" t="s">
        <v>96</v>
      </c>
      <c r="B53" s="160" t="s">
        <v>384</v>
      </c>
      <c r="C53" s="497" t="s">
        <v>385</v>
      </c>
      <c r="D53" s="162" t="s">
        <v>119</v>
      </c>
      <c r="E53" s="161" t="s">
        <v>145</v>
      </c>
      <c r="F53" s="161" t="s">
        <v>145</v>
      </c>
      <c r="G53" s="161" t="s">
        <v>320</v>
      </c>
      <c r="H53" s="161" t="s">
        <v>145</v>
      </c>
      <c r="I53" s="161" t="s">
        <v>145</v>
      </c>
      <c r="J53" s="163" t="s">
        <v>321</v>
      </c>
      <c r="K53" s="126">
        <f>142*12/'Average wages'!B44</f>
        <v>4.0869130515086387E-2</v>
      </c>
      <c r="L53" s="411">
        <f>(255-142)*12/'Average wages'!B44</f>
        <v>3.2522617945103957E-2</v>
      </c>
      <c r="M53" s="411">
        <f>(442-255)*12/(2*'Average wages'!B44)</f>
        <v>2.6910307768736458E-2</v>
      </c>
      <c r="N53" s="129">
        <f>(357-142)*12/('Average wages'!B44*2)</f>
        <v>3.0939658664590045E-2</v>
      </c>
      <c r="O53" s="161" t="s">
        <v>145</v>
      </c>
      <c r="P53" s="162" t="s">
        <v>1220</v>
      </c>
      <c r="Q53" s="161" t="s">
        <v>1221</v>
      </c>
      <c r="R53" s="161" t="s">
        <v>320</v>
      </c>
      <c r="S53" s="164" t="s">
        <v>386</v>
      </c>
      <c r="T53" s="161" t="s">
        <v>109</v>
      </c>
      <c r="U53" s="161" t="s">
        <v>109</v>
      </c>
      <c r="V53" s="164" t="s">
        <v>387</v>
      </c>
    </row>
    <row r="54" spans="1:22" x14ac:dyDescent="0.25">
      <c r="A54" s="165" t="s">
        <v>97</v>
      </c>
      <c r="B54" s="166"/>
      <c r="C54" s="169"/>
      <c r="D54" s="41"/>
      <c r="E54" s="167"/>
      <c r="F54" s="168"/>
      <c r="G54" s="168"/>
      <c r="H54" s="168"/>
      <c r="I54" s="168"/>
      <c r="J54" s="41"/>
      <c r="K54" s="41"/>
      <c r="L54" s="41"/>
      <c r="M54" s="41"/>
      <c r="N54" s="41"/>
      <c r="O54" s="169"/>
      <c r="P54" s="170"/>
      <c r="Q54" s="170"/>
      <c r="R54" s="170"/>
      <c r="S54" s="170"/>
    </row>
    <row r="55" spans="1:22" x14ac:dyDescent="0.25">
      <c r="A55" s="530" t="str">
        <f>'Unemployment Insurance'!A53</f>
        <v>1. "n.a." equals not applicable, "..." equals no information available.</v>
      </c>
      <c r="B55" s="530"/>
      <c r="C55" s="530"/>
      <c r="D55" s="530"/>
      <c r="E55" s="530"/>
      <c r="F55" s="530"/>
      <c r="G55" s="530"/>
      <c r="H55" s="530"/>
      <c r="I55" s="530"/>
      <c r="J55" s="530"/>
      <c r="K55" s="530"/>
      <c r="L55" s="530"/>
      <c r="M55" s="530"/>
      <c r="N55" s="530"/>
      <c r="O55" s="171"/>
      <c r="P55" s="530"/>
      <c r="Q55" s="530"/>
      <c r="R55" s="530"/>
      <c r="S55" s="530"/>
      <c r="T55" s="530"/>
      <c r="U55" s="530"/>
      <c r="V55" s="530"/>
    </row>
    <row r="56" spans="1:22" x14ac:dyDescent="0.25">
      <c r="A56" s="43" t="s">
        <v>389</v>
      </c>
      <c r="B56" s="166"/>
      <c r="C56" s="41"/>
      <c r="D56" s="41"/>
      <c r="E56" s="167"/>
      <c r="F56" s="168"/>
      <c r="G56" s="168"/>
      <c r="H56" s="168"/>
      <c r="I56" s="168"/>
      <c r="J56" s="41"/>
      <c r="K56" s="41"/>
      <c r="L56" s="41"/>
      <c r="M56" s="41"/>
      <c r="N56" s="41"/>
      <c r="O56" s="169"/>
      <c r="P56" s="170"/>
      <c r="Q56" s="170"/>
      <c r="R56" s="170"/>
      <c r="S56" s="170"/>
    </row>
    <row r="57" spans="1:22" ht="12.75" customHeight="1" x14ac:dyDescent="0.25">
      <c r="A57" s="583" t="s">
        <v>1053</v>
      </c>
      <c r="B57" s="583"/>
      <c r="C57" s="583"/>
      <c r="D57" s="583"/>
      <c r="E57" s="583"/>
      <c r="F57" s="583"/>
      <c r="G57" s="583"/>
      <c r="H57" s="583"/>
      <c r="I57" s="583"/>
      <c r="J57" s="583"/>
      <c r="K57" s="583"/>
      <c r="L57" s="583"/>
      <c r="M57" s="583"/>
      <c r="N57" s="583"/>
      <c r="O57" s="583"/>
      <c r="P57" s="583"/>
      <c r="Q57" s="583"/>
      <c r="R57" s="583"/>
      <c r="S57" s="583"/>
      <c r="T57" s="583"/>
      <c r="U57" s="583"/>
      <c r="V57" s="583"/>
    </row>
    <row r="58" spans="1:22" x14ac:dyDescent="0.25">
      <c r="A58" s="35" t="s">
        <v>390</v>
      </c>
      <c r="O58" s="172"/>
    </row>
    <row r="59" spans="1:22" x14ac:dyDescent="0.25">
      <c r="A59" s="35" t="s">
        <v>848</v>
      </c>
      <c r="O59" s="172"/>
    </row>
    <row r="60" spans="1:22" x14ac:dyDescent="0.25">
      <c r="A60" s="530" t="s">
        <v>849</v>
      </c>
      <c r="O60" s="172"/>
    </row>
    <row r="61" spans="1:22" x14ac:dyDescent="0.25">
      <c r="A61" s="530" t="s">
        <v>875</v>
      </c>
      <c r="O61" s="172"/>
    </row>
    <row r="62" spans="1:22" x14ac:dyDescent="0.25">
      <c r="A62" s="35" t="s">
        <v>850</v>
      </c>
      <c r="O62" s="172"/>
    </row>
    <row r="63" spans="1:22" x14ac:dyDescent="0.25">
      <c r="A63" s="35" t="s">
        <v>921</v>
      </c>
      <c r="O63" s="172"/>
    </row>
    <row r="64" spans="1:22" x14ac:dyDescent="0.25">
      <c r="A64" s="35" t="s">
        <v>943</v>
      </c>
      <c r="O64" s="172"/>
    </row>
    <row r="65" spans="1:15" x14ac:dyDescent="0.25">
      <c r="A65" s="35" t="s">
        <v>1019</v>
      </c>
      <c r="O65" s="172"/>
    </row>
    <row r="66" spans="1:15" x14ac:dyDescent="0.25">
      <c r="A66" s="35" t="s">
        <v>922</v>
      </c>
      <c r="O66" s="172"/>
    </row>
    <row r="67" spans="1:15" x14ac:dyDescent="0.25">
      <c r="A67" s="35" t="s">
        <v>988</v>
      </c>
      <c r="O67" s="172"/>
    </row>
    <row r="68" spans="1:15" x14ac:dyDescent="0.25">
      <c r="A68" s="35"/>
      <c r="O68" s="172"/>
    </row>
    <row r="69" spans="1:15" x14ac:dyDescent="0.25">
      <c r="A69" s="1" t="s">
        <v>105</v>
      </c>
      <c r="B69" s="619" t="s">
        <v>10</v>
      </c>
      <c r="O69" s="172"/>
    </row>
  </sheetData>
  <mergeCells count="16">
    <mergeCell ref="K16:K17"/>
    <mergeCell ref="L16:L17"/>
    <mergeCell ref="M16:M17"/>
    <mergeCell ref="N16:N17"/>
    <mergeCell ref="A57:V57"/>
    <mergeCell ref="A1:V1"/>
    <mergeCell ref="A2:V2"/>
    <mergeCell ref="B6:B8"/>
    <mergeCell ref="C6:C8"/>
    <mergeCell ref="D6:I7"/>
    <mergeCell ref="J6:J8"/>
    <mergeCell ref="K6:S6"/>
    <mergeCell ref="T6:V7"/>
    <mergeCell ref="K7:O7"/>
    <mergeCell ref="P7:S7"/>
    <mergeCell ref="A3:V3"/>
  </mergeCells>
  <hyperlinks>
    <hyperlink ref="B69" r:id="rId1" xr:uid="{00000000-0004-0000-0300-000000000000}"/>
  </hyperlinks>
  <pageMargins left="0.7" right="0.7" top="0.75" bottom="0.75" header="0.3" footer="0.3"/>
  <pageSetup paperSize="9" orientation="portrait" r:id="rId2"/>
  <headerFooter>
    <oddFooter>&amp;C_x000D_&amp;1#&amp;"Calibri"&amp;10&amp;K0000FF Restricted Use - À usage restreint</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58"/>
  <sheetViews>
    <sheetView workbookViewId="0">
      <pane xSplit="1" ySplit="10" topLeftCell="B11" activePane="bottomRight" state="frozen"/>
      <selection pane="topRight" activeCell="B1" sqref="B1"/>
      <selection pane="bottomLeft" activeCell="A11" sqref="A11"/>
      <selection pane="bottomRight" activeCell="H16" sqref="H16"/>
    </sheetView>
  </sheetViews>
  <sheetFormatPr defaultRowHeight="13.2" x14ac:dyDescent="0.25"/>
  <cols>
    <col min="1" max="1" width="20" style="33" bestFit="1" customWidth="1"/>
    <col min="2" max="2" width="24.6640625" style="33" customWidth="1"/>
    <col min="3" max="7" width="8.88671875" style="33"/>
    <col min="8" max="8" width="86.109375" style="33" customWidth="1"/>
    <col min="9" max="9" width="14.5546875" style="33" bestFit="1" customWidth="1"/>
    <col min="10" max="10" width="38.5546875" style="33" bestFit="1" customWidth="1"/>
    <col min="11" max="16384" width="8.88671875" style="33"/>
  </cols>
  <sheetData>
    <row r="1" spans="1:10" ht="19.2" x14ac:dyDescent="0.3">
      <c r="A1" s="587" t="s">
        <v>391</v>
      </c>
      <c r="B1" s="587"/>
      <c r="C1" s="587"/>
      <c r="D1" s="587"/>
      <c r="E1" s="587"/>
      <c r="F1" s="587"/>
      <c r="G1" s="587"/>
      <c r="H1" s="587"/>
      <c r="I1" s="587"/>
      <c r="J1" s="587"/>
    </row>
    <row r="2" spans="1:10" ht="17.399999999999999" x14ac:dyDescent="0.25">
      <c r="A2" s="588">
        <v>2018</v>
      </c>
      <c r="B2" s="588"/>
      <c r="C2" s="588"/>
      <c r="D2" s="588"/>
      <c r="E2" s="588"/>
      <c r="F2" s="588"/>
      <c r="G2" s="588"/>
      <c r="H2" s="588"/>
      <c r="I2" s="588"/>
      <c r="J2" s="588"/>
    </row>
    <row r="3" spans="1:10" ht="12" hidden="1" customHeight="1" x14ac:dyDescent="0.25">
      <c r="A3" s="6" t="s">
        <v>9</v>
      </c>
      <c r="B3" s="6" t="s">
        <v>12</v>
      </c>
      <c r="C3" s="6" t="s">
        <v>12</v>
      </c>
      <c r="D3" s="6" t="s">
        <v>12</v>
      </c>
      <c r="E3" s="6" t="s">
        <v>12</v>
      </c>
      <c r="F3" s="6" t="s">
        <v>12</v>
      </c>
      <c r="G3" s="6" t="s">
        <v>12</v>
      </c>
      <c r="H3" s="6" t="s">
        <v>12</v>
      </c>
      <c r="I3" s="6" t="s">
        <v>13</v>
      </c>
      <c r="J3" s="6" t="s">
        <v>12</v>
      </c>
    </row>
    <row r="4" spans="1:10" hidden="1" x14ac:dyDescent="0.25">
      <c r="A4" s="106" t="s">
        <v>14</v>
      </c>
      <c r="B4" s="213" t="s">
        <v>392</v>
      </c>
      <c r="C4" s="213" t="s">
        <v>393</v>
      </c>
      <c r="D4" s="213" t="s">
        <v>394</v>
      </c>
      <c r="E4" s="213" t="s">
        <v>395</v>
      </c>
      <c r="F4" s="213" t="s">
        <v>396</v>
      </c>
      <c r="G4" s="213" t="s">
        <v>397</v>
      </c>
      <c r="H4" s="213" t="s">
        <v>398</v>
      </c>
      <c r="I4" s="173" t="s">
        <v>399</v>
      </c>
      <c r="J4" s="530" t="s">
        <v>400</v>
      </c>
    </row>
    <row r="5" spans="1:10" x14ac:dyDescent="0.25">
      <c r="A5" s="174"/>
      <c r="B5" s="589" t="s">
        <v>401</v>
      </c>
      <c r="C5" s="590"/>
      <c r="D5" s="590"/>
      <c r="E5" s="590"/>
      <c r="F5" s="590"/>
      <c r="G5" s="590"/>
      <c r="H5" s="590"/>
      <c r="I5" s="591"/>
      <c r="J5" s="592" t="s">
        <v>402</v>
      </c>
    </row>
    <row r="6" spans="1:10" x14ac:dyDescent="0.25">
      <c r="A6" s="174"/>
      <c r="B6" s="584"/>
      <c r="C6" s="585"/>
      <c r="D6" s="585"/>
      <c r="E6" s="585"/>
      <c r="F6" s="585"/>
      <c r="G6" s="585"/>
      <c r="H6" s="585"/>
      <c r="I6" s="586"/>
      <c r="J6" s="593"/>
    </row>
    <row r="7" spans="1:10" x14ac:dyDescent="0.25">
      <c r="A7" s="175"/>
      <c r="B7" s="592" t="s">
        <v>225</v>
      </c>
      <c r="C7" s="594" t="s">
        <v>403</v>
      </c>
      <c r="D7" s="594"/>
      <c r="E7" s="594"/>
      <c r="F7" s="594"/>
      <c r="G7" s="595"/>
      <c r="H7" s="596" t="s">
        <v>404</v>
      </c>
      <c r="I7" s="592" t="s">
        <v>410</v>
      </c>
      <c r="J7" s="593"/>
    </row>
    <row r="8" spans="1:10" ht="39" x14ac:dyDescent="0.25">
      <c r="A8" s="175"/>
      <c r="B8" s="593"/>
      <c r="C8" s="177" t="s">
        <v>405</v>
      </c>
      <c r="D8" s="177" t="s">
        <v>406</v>
      </c>
      <c r="E8" s="177" t="s">
        <v>407</v>
      </c>
      <c r="F8" s="177" t="s">
        <v>408</v>
      </c>
      <c r="G8" s="178" t="s">
        <v>409</v>
      </c>
      <c r="H8" s="597"/>
      <c r="I8" s="593"/>
      <c r="J8" s="593"/>
    </row>
    <row r="9" spans="1:10" x14ac:dyDescent="0.25">
      <c r="A9" s="175"/>
      <c r="B9" s="176" t="s">
        <v>45</v>
      </c>
      <c r="C9" s="584" t="s">
        <v>46</v>
      </c>
      <c r="D9" s="585"/>
      <c r="E9" s="585"/>
      <c r="F9" s="585"/>
      <c r="G9" s="586"/>
      <c r="H9" s="528" t="s">
        <v>47</v>
      </c>
      <c r="I9" s="176" t="s">
        <v>48</v>
      </c>
      <c r="J9" s="176" t="s">
        <v>49</v>
      </c>
    </row>
    <row r="10" spans="1:10" x14ac:dyDescent="0.25">
      <c r="A10" s="179" t="s">
        <v>59</v>
      </c>
      <c r="B10" s="180"/>
      <c r="C10" s="181"/>
      <c r="D10" s="182"/>
      <c r="E10" s="182"/>
      <c r="F10" s="182"/>
      <c r="G10" s="183"/>
      <c r="H10" s="181"/>
      <c r="I10" s="184"/>
      <c r="J10" s="185"/>
    </row>
    <row r="11" spans="1:10" ht="45.6" x14ac:dyDescent="0.25">
      <c r="A11" s="186" t="s">
        <v>411</v>
      </c>
      <c r="B11" s="205" t="s">
        <v>422</v>
      </c>
      <c r="C11" s="188" t="s">
        <v>320</v>
      </c>
      <c r="D11" s="189" t="s">
        <v>320</v>
      </c>
      <c r="E11" s="189" t="s">
        <v>145</v>
      </c>
      <c r="F11" s="189" t="s">
        <v>145</v>
      </c>
      <c r="G11" s="190" t="s">
        <v>320</v>
      </c>
      <c r="H11" s="191" t="s">
        <v>1027</v>
      </c>
      <c r="I11" s="192">
        <f>156.24*26/'Average wages'!B4</f>
        <v>4.8173972956644558E-2</v>
      </c>
      <c r="J11" s="193" t="s">
        <v>119</v>
      </c>
    </row>
    <row r="12" spans="1:10" ht="22.8" x14ac:dyDescent="0.25">
      <c r="A12" s="194" t="s">
        <v>412</v>
      </c>
      <c r="B12" s="205" t="s">
        <v>863</v>
      </c>
      <c r="C12" s="188" t="s">
        <v>320</v>
      </c>
      <c r="D12" s="189" t="s">
        <v>320</v>
      </c>
      <c r="E12" s="189" t="s">
        <v>320</v>
      </c>
      <c r="F12" s="189" t="s">
        <v>320</v>
      </c>
      <c r="G12" s="190" t="s">
        <v>320</v>
      </c>
      <c r="H12" s="191" t="s">
        <v>864</v>
      </c>
      <c r="I12" s="192">
        <f>(5.58*70-0)*12/'Average wages'!B5</f>
        <v>9.9424898276700951E-2</v>
      </c>
      <c r="J12" s="193" t="s">
        <v>865</v>
      </c>
    </row>
    <row r="13" spans="1:10" ht="45.6" x14ac:dyDescent="0.25">
      <c r="A13" s="194" t="s">
        <v>413</v>
      </c>
      <c r="B13" s="187" t="s">
        <v>423</v>
      </c>
      <c r="C13" s="195" t="s">
        <v>164</v>
      </c>
      <c r="D13" s="196" t="s">
        <v>164</v>
      </c>
      <c r="E13" s="196" t="s">
        <v>164</v>
      </c>
      <c r="F13" s="196" t="s">
        <v>164</v>
      </c>
      <c r="G13" s="197" t="s">
        <v>164</v>
      </c>
      <c r="H13" s="198" t="s">
        <v>414</v>
      </c>
      <c r="I13" s="199" t="s">
        <v>109</v>
      </c>
      <c r="J13" s="187" t="s">
        <v>415</v>
      </c>
    </row>
    <row r="14" spans="1:10" x14ac:dyDescent="0.25">
      <c r="A14" s="194" t="s">
        <v>63</v>
      </c>
      <c r="B14" s="187" t="s">
        <v>423</v>
      </c>
      <c r="C14" s="188" t="s">
        <v>109</v>
      </c>
      <c r="D14" s="189" t="s">
        <v>109</v>
      </c>
      <c r="E14" s="189" t="s">
        <v>109</v>
      </c>
      <c r="F14" s="189" t="s">
        <v>109</v>
      </c>
      <c r="G14" s="190" t="s">
        <v>109</v>
      </c>
      <c r="H14" s="191" t="s">
        <v>424</v>
      </c>
      <c r="I14" s="192" t="s">
        <v>109</v>
      </c>
      <c r="J14" s="193" t="s">
        <v>145</v>
      </c>
    </row>
    <row r="15" spans="1:10" ht="26.4" x14ac:dyDescent="0.25">
      <c r="A15" s="186" t="s">
        <v>64</v>
      </c>
      <c r="B15" s="205" t="s">
        <v>425</v>
      </c>
      <c r="C15" s="188" t="s">
        <v>320</v>
      </c>
      <c r="D15" s="189" t="s">
        <v>320</v>
      </c>
      <c r="E15" s="189" t="s">
        <v>145</v>
      </c>
      <c r="F15" s="189" t="s">
        <v>320</v>
      </c>
      <c r="G15" s="190" t="s">
        <v>320</v>
      </c>
      <c r="H15" s="215" t="s">
        <v>426</v>
      </c>
      <c r="I15" s="192">
        <v>0.17165305899743058</v>
      </c>
      <c r="J15" s="193" t="s">
        <v>427</v>
      </c>
    </row>
    <row r="16" spans="1:10" ht="90" customHeight="1" x14ac:dyDescent="0.25">
      <c r="A16" s="186" t="s">
        <v>65</v>
      </c>
      <c r="B16" s="205" t="s">
        <v>428</v>
      </c>
      <c r="C16" s="188" t="s">
        <v>320</v>
      </c>
      <c r="D16" s="189" t="s">
        <v>320</v>
      </c>
      <c r="E16" s="189" t="s">
        <v>320</v>
      </c>
      <c r="F16" s="189" t="s">
        <v>145</v>
      </c>
      <c r="G16" s="190" t="s">
        <v>320</v>
      </c>
      <c r="H16" s="191" t="s">
        <v>429</v>
      </c>
      <c r="I16" s="192">
        <f>42516/'Average wages'!B10</f>
        <v>0.10028779459731112</v>
      </c>
      <c r="J16" s="193" t="s">
        <v>430</v>
      </c>
    </row>
    <row r="17" spans="1:10" ht="34.200000000000003" x14ac:dyDescent="0.25">
      <c r="A17" s="186" t="s">
        <v>66</v>
      </c>
      <c r="B17" s="187" t="s">
        <v>431</v>
      </c>
      <c r="C17" s="188" t="s">
        <v>320</v>
      </c>
      <c r="D17" s="189" t="s">
        <v>320</v>
      </c>
      <c r="E17" s="189" t="s">
        <v>320</v>
      </c>
      <c r="F17" s="189" t="s">
        <v>145</v>
      </c>
      <c r="G17" s="190" t="s">
        <v>320</v>
      </c>
      <c r="H17" s="191" t="s">
        <v>1237</v>
      </c>
      <c r="I17" s="192" t="s">
        <v>109</v>
      </c>
      <c r="J17" s="193" t="s">
        <v>145</v>
      </c>
    </row>
    <row r="18" spans="1:10" ht="34.200000000000003" x14ac:dyDescent="0.25">
      <c r="A18" s="186" t="s">
        <v>67</v>
      </c>
      <c r="B18" s="205" t="s">
        <v>432</v>
      </c>
      <c r="C18" s="188" t="s">
        <v>320</v>
      </c>
      <c r="D18" s="189" t="s">
        <v>320</v>
      </c>
      <c r="E18" s="189" t="s">
        <v>145</v>
      </c>
      <c r="F18" s="189" t="s">
        <v>320</v>
      </c>
      <c r="G18" s="190" t="s">
        <v>320</v>
      </c>
      <c r="H18" s="191" t="s">
        <v>433</v>
      </c>
      <c r="I18" s="192">
        <v>0.2386753892871504</v>
      </c>
      <c r="J18" s="193" t="s">
        <v>434</v>
      </c>
    </row>
    <row r="19" spans="1:10" ht="57" x14ac:dyDescent="0.25">
      <c r="A19" s="186" t="s">
        <v>68</v>
      </c>
      <c r="B19" s="187" t="s">
        <v>435</v>
      </c>
      <c r="C19" s="188" t="s">
        <v>320</v>
      </c>
      <c r="D19" s="189" t="s">
        <v>320</v>
      </c>
      <c r="E19" s="189" t="s">
        <v>145</v>
      </c>
      <c r="F19" s="189" t="s">
        <v>320</v>
      </c>
      <c r="G19" s="190" t="s">
        <v>320</v>
      </c>
      <c r="H19" s="215" t="s">
        <v>436</v>
      </c>
      <c r="I19" s="192">
        <v>8.5000000000000006E-2</v>
      </c>
      <c r="J19" s="193" t="s">
        <v>145</v>
      </c>
    </row>
    <row r="20" spans="1:10" ht="26.4" x14ac:dyDescent="0.25">
      <c r="A20" s="186" t="s">
        <v>241</v>
      </c>
      <c r="B20" s="205" t="s">
        <v>437</v>
      </c>
      <c r="C20" s="188" t="s">
        <v>320</v>
      </c>
      <c r="D20" s="189" t="s">
        <v>320</v>
      </c>
      <c r="E20" s="189" t="s">
        <v>320</v>
      </c>
      <c r="F20" s="189" t="s">
        <v>320</v>
      </c>
      <c r="G20" s="190" t="s">
        <v>320</v>
      </c>
      <c r="H20" s="215" t="s">
        <v>823</v>
      </c>
      <c r="I20" s="192">
        <f>730*12/'Average wages'!B14</f>
        <v>0.17352156577135469</v>
      </c>
      <c r="J20" s="193" t="s">
        <v>1238</v>
      </c>
    </row>
    <row r="21" spans="1:10" ht="92.4" x14ac:dyDescent="0.25">
      <c r="A21" s="186" t="s">
        <v>70</v>
      </c>
      <c r="B21" s="214" t="s">
        <v>1040</v>
      </c>
      <c r="C21" s="188"/>
      <c r="D21" s="189"/>
      <c r="E21" s="189"/>
      <c r="F21" s="189"/>
      <c r="G21" s="190"/>
      <c r="H21" s="215"/>
      <c r="I21" s="192"/>
      <c r="J21" s="193"/>
    </row>
    <row r="22" spans="1:10" ht="26.4" x14ac:dyDescent="0.25">
      <c r="A22" s="186" t="s">
        <v>72</v>
      </c>
      <c r="B22" s="205" t="s">
        <v>841</v>
      </c>
      <c r="C22" s="188" t="s">
        <v>320</v>
      </c>
      <c r="D22" s="189" t="s">
        <v>320</v>
      </c>
      <c r="E22" s="189" t="s">
        <v>145</v>
      </c>
      <c r="F22" s="189" t="s">
        <v>145</v>
      </c>
      <c r="G22" s="190" t="s">
        <v>320</v>
      </c>
      <c r="H22" s="215" t="s">
        <v>842</v>
      </c>
      <c r="I22" s="192">
        <v>7.0000000000000007E-2</v>
      </c>
      <c r="J22" s="193" t="s">
        <v>145</v>
      </c>
    </row>
    <row r="23" spans="1:10" ht="52.8" x14ac:dyDescent="0.25">
      <c r="A23" s="186" t="s">
        <v>73</v>
      </c>
      <c r="B23" s="214" t="s">
        <v>438</v>
      </c>
      <c r="C23" s="188" t="s">
        <v>320</v>
      </c>
      <c r="D23" s="189" t="s">
        <v>320</v>
      </c>
      <c r="E23" s="189" t="s">
        <v>145</v>
      </c>
      <c r="F23" s="189" t="s">
        <v>320</v>
      </c>
      <c r="G23" s="190" t="s">
        <v>320</v>
      </c>
      <c r="H23" s="215" t="s">
        <v>923</v>
      </c>
      <c r="I23" s="192">
        <f>(1275*12-40*52)/'Average wages'!B18</f>
        <v>0.28121238938113791</v>
      </c>
      <c r="J23" s="193" t="s">
        <v>119</v>
      </c>
    </row>
    <row r="24" spans="1:10" ht="34.200000000000003" x14ac:dyDescent="0.25">
      <c r="A24" s="186" t="s">
        <v>417</v>
      </c>
      <c r="B24" s="187" t="s">
        <v>119</v>
      </c>
      <c r="C24" s="188" t="s">
        <v>320</v>
      </c>
      <c r="D24" s="189" t="s">
        <v>320</v>
      </c>
      <c r="E24" s="189" t="s">
        <v>145</v>
      </c>
      <c r="F24" s="189" t="s">
        <v>320</v>
      </c>
      <c r="G24" s="190" t="s">
        <v>320</v>
      </c>
      <c r="H24" s="191" t="s">
        <v>1063</v>
      </c>
      <c r="I24" s="192">
        <f>(1250*12)/'Average wages'!B19</f>
        <v>9.7965641545584306E-2</v>
      </c>
      <c r="J24" s="193" t="s">
        <v>109</v>
      </c>
    </row>
    <row r="25" spans="1:10" ht="68.400000000000006" x14ac:dyDescent="0.25">
      <c r="A25" s="186" t="s">
        <v>418</v>
      </c>
      <c r="B25" s="187" t="s">
        <v>1048</v>
      </c>
      <c r="C25" s="188"/>
      <c r="D25" s="189"/>
      <c r="E25" s="189"/>
      <c r="F25" s="189"/>
      <c r="G25" s="190"/>
      <c r="H25" s="191"/>
      <c r="I25" s="192"/>
      <c r="J25" s="193"/>
    </row>
    <row r="26" spans="1:10" ht="52.8" x14ac:dyDescent="0.25">
      <c r="A26" s="194" t="s">
        <v>972</v>
      </c>
      <c r="B26" s="214" t="s">
        <v>937</v>
      </c>
      <c r="C26" s="188" t="s">
        <v>320</v>
      </c>
      <c r="D26" s="189" t="s">
        <v>320</v>
      </c>
      <c r="E26" s="189" t="s">
        <v>145</v>
      </c>
      <c r="F26" s="189" t="s">
        <v>320</v>
      </c>
      <c r="G26" s="190" t="s">
        <v>320</v>
      </c>
      <c r="H26" s="215" t="s">
        <v>938</v>
      </c>
      <c r="I26" s="192">
        <f>69800*12/'Average wages'!B21</f>
        <v>0.15964304026032641</v>
      </c>
      <c r="J26" s="193" t="s">
        <v>109</v>
      </c>
    </row>
    <row r="27" spans="1:10" ht="39.6" x14ac:dyDescent="0.25">
      <c r="A27" s="186" t="s">
        <v>77</v>
      </c>
      <c r="B27" s="214" t="s">
        <v>949</v>
      </c>
      <c r="C27" s="188" t="s">
        <v>320</v>
      </c>
      <c r="D27" s="189" t="s">
        <v>320</v>
      </c>
      <c r="E27" s="189" t="s">
        <v>145</v>
      </c>
      <c r="F27" s="189" t="s">
        <v>320</v>
      </c>
      <c r="G27" s="190" t="s">
        <v>320</v>
      </c>
      <c r="H27" s="215" t="s">
        <v>950</v>
      </c>
      <c r="I27" s="192">
        <v>8.5000000000000006E-2</v>
      </c>
      <c r="J27" s="193" t="s">
        <v>145</v>
      </c>
    </row>
    <row r="28" spans="1:10" ht="26.4" x14ac:dyDescent="0.25">
      <c r="A28" s="186" t="s">
        <v>94</v>
      </c>
      <c r="B28" s="217" t="s">
        <v>784</v>
      </c>
      <c r="C28" s="188" t="s">
        <v>320</v>
      </c>
      <c r="D28" s="189" t="s">
        <v>320</v>
      </c>
      <c r="E28" s="189" t="s">
        <v>320</v>
      </c>
      <c r="F28" s="189" t="s">
        <v>320</v>
      </c>
      <c r="G28" s="190" t="s">
        <v>320</v>
      </c>
      <c r="H28" s="215" t="s">
        <v>461</v>
      </c>
      <c r="I28" s="192">
        <v>0.18256590589491034</v>
      </c>
      <c r="J28" s="193" t="s">
        <v>145</v>
      </c>
    </row>
    <row r="29" spans="1:10" ht="57" x14ac:dyDescent="0.25">
      <c r="A29" s="186" t="s">
        <v>95</v>
      </c>
      <c r="B29" s="187" t="s">
        <v>894</v>
      </c>
      <c r="C29" s="188" t="s">
        <v>320</v>
      </c>
      <c r="D29" s="189" t="s">
        <v>320</v>
      </c>
      <c r="E29" s="189" t="s">
        <v>145</v>
      </c>
      <c r="F29" s="189" t="s">
        <v>145</v>
      </c>
      <c r="G29" s="190" t="s">
        <v>145</v>
      </c>
      <c r="H29" s="191" t="s">
        <v>462</v>
      </c>
      <c r="I29" s="200" t="s">
        <v>109</v>
      </c>
      <c r="J29" s="193" t="s">
        <v>145</v>
      </c>
    </row>
    <row r="30" spans="1:10" ht="53.4" thickBot="1" x14ac:dyDescent="0.3">
      <c r="A30" s="186" t="s">
        <v>78</v>
      </c>
      <c r="B30" s="217" t="s">
        <v>944</v>
      </c>
      <c r="C30" s="188" t="s">
        <v>320</v>
      </c>
      <c r="D30" s="189" t="s">
        <v>320</v>
      </c>
      <c r="E30" s="189" t="s">
        <v>145</v>
      </c>
      <c r="F30" s="189" t="s">
        <v>145</v>
      </c>
      <c r="G30" s="190" t="s">
        <v>320</v>
      </c>
      <c r="H30" s="215" t="s">
        <v>945</v>
      </c>
      <c r="I30" s="192">
        <v>5.4828546080159322E-2</v>
      </c>
      <c r="J30" s="193" t="s">
        <v>145</v>
      </c>
    </row>
    <row r="31" spans="1:10" ht="40.200000000000003" thickBot="1" x14ac:dyDescent="0.3">
      <c r="A31" s="186" t="s">
        <v>79</v>
      </c>
      <c r="B31" s="217" t="s">
        <v>439</v>
      </c>
      <c r="C31" s="188" t="s">
        <v>320</v>
      </c>
      <c r="D31" s="189" t="s">
        <v>320</v>
      </c>
      <c r="E31" s="189" t="s">
        <v>145</v>
      </c>
      <c r="F31" s="189" t="s">
        <v>145</v>
      </c>
      <c r="G31" s="190" t="s">
        <v>320</v>
      </c>
      <c r="H31" s="216" t="s">
        <v>998</v>
      </c>
      <c r="I31" s="192">
        <f>(417.34-225.08+0.65*(640.14-417.34))*12/'Average wages'!B25</f>
        <v>7.7440965817773877E-2</v>
      </c>
      <c r="J31" s="193" t="s">
        <v>145</v>
      </c>
    </row>
    <row r="32" spans="1:10" ht="79.2" x14ac:dyDescent="0.25">
      <c r="A32" s="186" t="s">
        <v>419</v>
      </c>
      <c r="B32" s="205" t="s">
        <v>440</v>
      </c>
      <c r="C32" s="188" t="s">
        <v>320</v>
      </c>
      <c r="D32" s="189" t="s">
        <v>320</v>
      </c>
      <c r="E32" s="189" t="s">
        <v>145</v>
      </c>
      <c r="F32" s="189" t="s">
        <v>320</v>
      </c>
      <c r="G32" s="190" t="s">
        <v>320</v>
      </c>
      <c r="H32" s="215" t="s">
        <v>441</v>
      </c>
      <c r="I32" s="192">
        <v>0.09</v>
      </c>
      <c r="J32" s="193" t="s">
        <v>145</v>
      </c>
    </row>
    <row r="33" spans="1:10" ht="66" x14ac:dyDescent="0.25">
      <c r="A33" s="186" t="s">
        <v>420</v>
      </c>
      <c r="B33" s="205" t="s">
        <v>442</v>
      </c>
      <c r="C33" s="188" t="s">
        <v>320</v>
      </c>
      <c r="D33" s="189" t="s">
        <v>320</v>
      </c>
      <c r="E33" s="189" t="s">
        <v>145</v>
      </c>
      <c r="F33" s="189" t="s">
        <v>320</v>
      </c>
      <c r="G33" s="190" t="s">
        <v>320</v>
      </c>
      <c r="H33" s="215" t="s">
        <v>1006</v>
      </c>
      <c r="I33" s="192">
        <f>(111588-19937)*0.737/'Average wages'!B27</f>
        <v>0.11294226978470914</v>
      </c>
      <c r="J33" s="193" t="s">
        <v>1018</v>
      </c>
    </row>
    <row r="34" spans="1:10" ht="66" x14ac:dyDescent="0.25">
      <c r="A34" s="186" t="s">
        <v>313</v>
      </c>
      <c r="B34" s="217" t="s">
        <v>443</v>
      </c>
      <c r="C34" s="188" t="s">
        <v>320</v>
      </c>
      <c r="D34" s="189" t="s">
        <v>320</v>
      </c>
      <c r="E34" s="189" t="s">
        <v>320</v>
      </c>
      <c r="F34" s="189" t="s">
        <v>145</v>
      </c>
      <c r="G34" s="190" t="s">
        <v>320</v>
      </c>
      <c r="H34" s="215" t="s">
        <v>444</v>
      </c>
      <c r="I34" s="192" t="s">
        <v>445</v>
      </c>
      <c r="J34" s="193" t="s">
        <v>446</v>
      </c>
    </row>
    <row r="35" spans="1:10" ht="26.4" x14ac:dyDescent="0.25">
      <c r="A35" s="186" t="s">
        <v>82</v>
      </c>
      <c r="B35" s="217" t="s">
        <v>447</v>
      </c>
      <c r="C35" s="188" t="s">
        <v>320</v>
      </c>
      <c r="D35" s="189" t="s">
        <v>320</v>
      </c>
      <c r="E35" s="189" t="s">
        <v>145</v>
      </c>
      <c r="F35" s="189" t="s">
        <v>145</v>
      </c>
      <c r="G35" s="190" t="s">
        <v>320</v>
      </c>
      <c r="H35" s="191" t="s">
        <v>448</v>
      </c>
      <c r="I35" s="200" t="s">
        <v>109</v>
      </c>
      <c r="J35" s="193" t="s">
        <v>109</v>
      </c>
    </row>
    <row r="36" spans="1:10" ht="39.6" x14ac:dyDescent="0.25">
      <c r="A36" s="186" t="s">
        <v>84</v>
      </c>
      <c r="B36" s="217" t="s">
        <v>449</v>
      </c>
      <c r="C36" s="188" t="s">
        <v>320</v>
      </c>
      <c r="D36" s="189" t="s">
        <v>320</v>
      </c>
      <c r="E36" s="189" t="s">
        <v>320</v>
      </c>
      <c r="F36" s="189" t="s">
        <v>145</v>
      </c>
      <c r="G36" s="190" t="s">
        <v>320</v>
      </c>
      <c r="H36" s="215" t="s">
        <v>450</v>
      </c>
      <c r="I36" s="192">
        <f>180*0.8*12/'Average wages'!B31</f>
        <v>8.7580951730982307E-2</v>
      </c>
      <c r="J36" s="193" t="s">
        <v>109</v>
      </c>
    </row>
    <row r="37" spans="1:10" ht="26.4" x14ac:dyDescent="0.25">
      <c r="A37" s="186" t="s">
        <v>85</v>
      </c>
      <c r="B37" s="187" t="s">
        <v>423</v>
      </c>
      <c r="C37" s="188" t="s">
        <v>109</v>
      </c>
      <c r="D37" s="189" t="s">
        <v>109</v>
      </c>
      <c r="E37" s="189" t="s">
        <v>109</v>
      </c>
      <c r="F37" s="189" t="s">
        <v>109</v>
      </c>
      <c r="G37" s="190" t="s">
        <v>109</v>
      </c>
      <c r="H37" s="215" t="s">
        <v>451</v>
      </c>
      <c r="I37" s="200" t="s">
        <v>109</v>
      </c>
      <c r="J37" s="193" t="s">
        <v>145</v>
      </c>
    </row>
    <row r="38" spans="1:10" ht="52.8" x14ac:dyDescent="0.25">
      <c r="A38" s="186" t="s">
        <v>86</v>
      </c>
      <c r="B38" s="217" t="s">
        <v>452</v>
      </c>
      <c r="C38" s="188" t="s">
        <v>320</v>
      </c>
      <c r="D38" s="189" t="s">
        <v>320</v>
      </c>
      <c r="E38" s="189" t="s">
        <v>145</v>
      </c>
      <c r="F38" s="189" t="s">
        <v>145</v>
      </c>
      <c r="G38" s="190" t="s">
        <v>320</v>
      </c>
      <c r="H38" s="215" t="s">
        <v>453</v>
      </c>
      <c r="I38" s="192">
        <f>4250*12/'Average wages'!B33</f>
        <v>0.11344365314167874</v>
      </c>
      <c r="J38" s="193" t="s">
        <v>454</v>
      </c>
    </row>
    <row r="39" spans="1:10" ht="22.8" x14ac:dyDescent="0.25">
      <c r="A39" s="186" t="s">
        <v>87</v>
      </c>
      <c r="B39" s="187" t="s">
        <v>423</v>
      </c>
      <c r="C39" s="188" t="s">
        <v>109</v>
      </c>
      <c r="D39" s="189" t="s">
        <v>109</v>
      </c>
      <c r="E39" s="189" t="s">
        <v>109</v>
      </c>
      <c r="F39" s="189" t="s">
        <v>109</v>
      </c>
      <c r="G39" s="190" t="s">
        <v>109</v>
      </c>
      <c r="H39" s="191" t="s">
        <v>455</v>
      </c>
      <c r="I39" s="200" t="s">
        <v>109</v>
      </c>
      <c r="J39" s="193" t="s">
        <v>456</v>
      </c>
    </row>
    <row r="40" spans="1:10" ht="52.8" x14ac:dyDescent="0.25">
      <c r="A40" s="186" t="s">
        <v>89</v>
      </c>
      <c r="B40" s="205" t="s">
        <v>457</v>
      </c>
      <c r="C40" s="188" t="s">
        <v>320</v>
      </c>
      <c r="D40" s="189" t="s">
        <v>320</v>
      </c>
      <c r="E40" s="189" t="s">
        <v>145</v>
      </c>
      <c r="F40" s="189" t="s">
        <v>320</v>
      </c>
      <c r="G40" s="190" t="s">
        <v>320</v>
      </c>
      <c r="H40" s="215" t="s">
        <v>901</v>
      </c>
      <c r="I40" s="192">
        <f>302.33*52/'Average wages'!B36</f>
        <v>0.40053326434593606</v>
      </c>
      <c r="J40" s="193" t="s">
        <v>145</v>
      </c>
    </row>
    <row r="41" spans="1:10" ht="39" customHeight="1" x14ac:dyDescent="0.25">
      <c r="A41" s="186" t="s">
        <v>421</v>
      </c>
      <c r="B41" s="187" t="s">
        <v>458</v>
      </c>
      <c r="C41" s="188" t="s">
        <v>109</v>
      </c>
      <c r="D41" s="189" t="s">
        <v>109</v>
      </c>
      <c r="E41" s="189" t="s">
        <v>109</v>
      </c>
      <c r="F41" s="189" t="s">
        <v>109</v>
      </c>
      <c r="G41" s="190" t="s">
        <v>109</v>
      </c>
      <c r="H41" s="191" t="s">
        <v>991</v>
      </c>
      <c r="I41" s="200" t="s">
        <v>109</v>
      </c>
      <c r="J41" s="193" t="str">
        <f>"Rent (if more than 50% of net income with a maximum of "&amp;TEXT(100*535*12/'Average wages'!B37,0)&amp;"% of AW) is deducted from income in SNAP means test"</f>
        <v>Rent (if more than 50% of net income with a maximum of 12% of AW) is deducted from income in SNAP means test</v>
      </c>
    </row>
    <row r="42" spans="1:10" x14ac:dyDescent="0.25">
      <c r="A42" s="201" t="s">
        <v>91</v>
      </c>
      <c r="B42" s="206"/>
      <c r="C42" s="207"/>
      <c r="D42" s="208"/>
      <c r="E42" s="208"/>
      <c r="F42" s="208"/>
      <c r="G42" s="209"/>
      <c r="H42" s="210"/>
      <c r="I42" s="211"/>
      <c r="J42" s="212"/>
    </row>
    <row r="43" spans="1:10" ht="57" x14ac:dyDescent="0.25">
      <c r="A43" s="198" t="s">
        <v>92</v>
      </c>
      <c r="B43" s="187" t="s">
        <v>423</v>
      </c>
      <c r="C43" s="188" t="s">
        <v>109</v>
      </c>
      <c r="D43" s="189" t="s">
        <v>109</v>
      </c>
      <c r="E43" s="189" t="s">
        <v>109</v>
      </c>
      <c r="F43" s="189" t="s">
        <v>109</v>
      </c>
      <c r="G43" s="190" t="s">
        <v>109</v>
      </c>
      <c r="H43" s="191" t="s">
        <v>459</v>
      </c>
      <c r="I43" s="200" t="s">
        <v>109</v>
      </c>
      <c r="J43" s="193" t="s">
        <v>378</v>
      </c>
    </row>
    <row r="44" spans="1:10" ht="34.200000000000003" x14ac:dyDescent="0.25">
      <c r="A44" s="186" t="s">
        <v>93</v>
      </c>
      <c r="B44" s="217" t="s">
        <v>858</v>
      </c>
      <c r="C44" s="188" t="s">
        <v>145</v>
      </c>
      <c r="D44" s="189" t="s">
        <v>320</v>
      </c>
      <c r="E44" s="189" t="s">
        <v>145</v>
      </c>
      <c r="F44" s="189" t="s">
        <v>145</v>
      </c>
      <c r="G44" s="190" t="s">
        <v>320</v>
      </c>
      <c r="H44" s="193" t="s">
        <v>460</v>
      </c>
      <c r="I44" s="192">
        <v>9.7000000000000003E-2</v>
      </c>
      <c r="J44" s="193" t="s">
        <v>859</v>
      </c>
    </row>
    <row r="45" spans="1:10" ht="39.6" x14ac:dyDescent="0.25">
      <c r="A45" s="186" t="s">
        <v>791</v>
      </c>
      <c r="B45" s="217" t="s">
        <v>1020</v>
      </c>
      <c r="C45" s="188" t="s">
        <v>320</v>
      </c>
      <c r="D45" s="189" t="s">
        <v>320</v>
      </c>
      <c r="E45" s="189" t="s">
        <v>145</v>
      </c>
      <c r="F45" s="189" t="s">
        <v>320</v>
      </c>
      <c r="G45" s="190" t="s">
        <v>320</v>
      </c>
      <c r="H45" s="193" t="s">
        <v>885</v>
      </c>
      <c r="I45" s="192">
        <v>0.107</v>
      </c>
      <c r="J45" s="193" t="s">
        <v>145</v>
      </c>
    </row>
    <row r="46" spans="1:10" ht="26.4" x14ac:dyDescent="0.25">
      <c r="A46" s="204" t="s">
        <v>255</v>
      </c>
      <c r="B46" s="217" t="s">
        <v>463</v>
      </c>
      <c r="C46" s="188" t="s">
        <v>320</v>
      </c>
      <c r="D46" s="189" t="s">
        <v>320</v>
      </c>
      <c r="E46" s="189" t="s">
        <v>145</v>
      </c>
      <c r="F46" s="189" t="s">
        <v>145</v>
      </c>
      <c r="G46" s="190" t="s">
        <v>145</v>
      </c>
      <c r="H46" s="215" t="s">
        <v>464</v>
      </c>
      <c r="I46" s="200">
        <v>4.7147571900047147E-2</v>
      </c>
      <c r="J46" s="193" t="s">
        <v>145</v>
      </c>
    </row>
    <row r="47" spans="1:10" x14ac:dyDescent="0.25">
      <c r="A47" s="213"/>
    </row>
    <row r="48" spans="1:10" x14ac:dyDescent="0.25">
      <c r="A48" s="321" t="s">
        <v>97</v>
      </c>
      <c r="B48" s="173"/>
    </row>
    <row r="49" spans="1:2" x14ac:dyDescent="0.25">
      <c r="A49" s="173" t="str">
        <f>'Unemployment Insurance'!A53</f>
        <v>1. "n.a." equals not applicable, "..." equals no information available.</v>
      </c>
      <c r="B49" s="321"/>
    </row>
    <row r="50" spans="1:2" x14ac:dyDescent="0.25">
      <c r="A50" s="378" t="s">
        <v>775</v>
      </c>
      <c r="B50" s="173"/>
    </row>
    <row r="51" spans="1:2" x14ac:dyDescent="0.25">
      <c r="A51" s="35" t="s">
        <v>910</v>
      </c>
      <c r="B51" s="174"/>
    </row>
    <row r="52" spans="1:2" x14ac:dyDescent="0.25">
      <c r="A52" s="378" t="s">
        <v>872</v>
      </c>
      <c r="B52" s="174"/>
    </row>
    <row r="53" spans="1:2" x14ac:dyDescent="0.25">
      <c r="A53" s="174" t="s">
        <v>776</v>
      </c>
      <c r="B53" s="174"/>
    </row>
    <row r="54" spans="1:2" x14ac:dyDescent="0.25">
      <c r="A54" s="174" t="s">
        <v>777</v>
      </c>
      <c r="B54" s="174"/>
    </row>
    <row r="55" spans="1:2" x14ac:dyDescent="0.25">
      <c r="A55" s="174" t="s">
        <v>778</v>
      </c>
      <c r="B55" s="174"/>
    </row>
    <row r="56" spans="1:2" x14ac:dyDescent="0.25">
      <c r="A56" s="174" t="s">
        <v>971</v>
      </c>
      <c r="B56" s="174"/>
    </row>
    <row r="57" spans="1:2" x14ac:dyDescent="0.25">
      <c r="A57" s="173"/>
      <c r="B57" s="173"/>
    </row>
    <row r="58" spans="1:2" x14ac:dyDescent="0.25">
      <c r="A58" s="1" t="s">
        <v>105</v>
      </c>
      <c r="B58" s="619" t="s">
        <v>10</v>
      </c>
    </row>
  </sheetData>
  <mergeCells count="9">
    <mergeCell ref="C9:G9"/>
    <mergeCell ref="A1:J1"/>
    <mergeCell ref="A2:J2"/>
    <mergeCell ref="B5:I6"/>
    <mergeCell ref="J5:J8"/>
    <mergeCell ref="B7:B8"/>
    <mergeCell ref="C7:G7"/>
    <mergeCell ref="H7:H8"/>
    <mergeCell ref="I7:I8"/>
  </mergeCells>
  <hyperlinks>
    <hyperlink ref="B58" r:id="rId1" xr:uid="{00000000-0004-0000-0400-000000000000}"/>
  </hyperlinks>
  <pageMargins left="0.7" right="0.7" top="0.75" bottom="0.75" header="0.3" footer="0.3"/>
  <pageSetup paperSize="9" orientation="portrait" r:id="rId2"/>
  <headerFooter>
    <oddFooter>&amp;C_x000D_&amp;1#&amp;"Calibri"&amp;10&amp;K0000FF Restricted Use - À usage restreint</oddFooter>
  </headerFooter>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59"/>
  <sheetViews>
    <sheetView topLeftCell="B1" zoomScale="85" zoomScaleNormal="85" workbookViewId="0">
      <pane xSplit="1" ySplit="8" topLeftCell="C74" activePane="bottomRight" state="frozen"/>
      <selection activeCell="B1" sqref="B1"/>
      <selection pane="topRight" activeCell="C1" sqref="C1"/>
      <selection pane="bottomLeft" activeCell="B9" sqref="B9"/>
      <selection pane="bottomRight" activeCell="H8" sqref="H8"/>
    </sheetView>
  </sheetViews>
  <sheetFormatPr defaultRowHeight="13.2" x14ac:dyDescent="0.25"/>
  <cols>
    <col min="1" max="1" width="17.88671875" style="33" hidden="1" customWidth="1"/>
    <col min="2" max="2" width="20" style="33" bestFit="1" customWidth="1"/>
    <col min="3" max="3" width="35.109375" style="33" customWidth="1"/>
    <col min="4" max="4" width="12.33203125" style="33" bestFit="1" customWidth="1"/>
    <col min="5" max="5" width="12.88671875" style="33" customWidth="1"/>
    <col min="6" max="6" width="26.5546875" style="33" customWidth="1"/>
    <col min="7" max="7" width="9.109375" style="33" customWidth="1"/>
    <col min="8" max="8" width="17.88671875" style="33" customWidth="1"/>
    <col min="9" max="9" width="22.5546875" style="33" customWidth="1"/>
    <col min="10" max="10" width="26.44140625" style="33" customWidth="1"/>
    <col min="11" max="11" width="18.109375" style="33" customWidth="1"/>
    <col min="12" max="12" width="20.33203125" style="33" bestFit="1" customWidth="1"/>
    <col min="13" max="16384" width="8.88671875" style="33"/>
  </cols>
  <sheetData>
    <row r="1" spans="1:12" ht="17.399999999999999" x14ac:dyDescent="0.3">
      <c r="A1" s="232"/>
      <c r="B1" s="599" t="s">
        <v>465</v>
      </c>
      <c r="C1" s="600"/>
      <c r="D1" s="600"/>
      <c r="E1" s="600"/>
      <c r="F1" s="600"/>
      <c r="G1" s="600"/>
      <c r="H1" s="600"/>
      <c r="I1" s="600"/>
      <c r="J1" s="600"/>
      <c r="K1" s="600"/>
      <c r="L1" s="600"/>
    </row>
    <row r="2" spans="1:12" ht="17.25" customHeight="1" x14ac:dyDescent="0.3">
      <c r="A2" s="232"/>
      <c r="B2" s="533">
        <v>2018</v>
      </c>
      <c r="C2" s="533"/>
      <c r="D2" s="533"/>
      <c r="E2" s="533"/>
      <c r="F2" s="533"/>
      <c r="G2" s="533"/>
      <c r="H2" s="533"/>
      <c r="I2" s="533"/>
      <c r="J2" s="533"/>
      <c r="K2" s="533"/>
      <c r="L2" s="533"/>
    </row>
    <row r="3" spans="1:12" ht="11.25" hidden="1" customHeight="1" x14ac:dyDescent="0.25">
      <c r="A3" s="232"/>
      <c r="B3" s="35" t="s">
        <v>9</v>
      </c>
      <c r="C3" s="35" t="s">
        <v>12</v>
      </c>
      <c r="D3" s="35" t="s">
        <v>12</v>
      </c>
      <c r="E3" s="35" t="s">
        <v>12</v>
      </c>
      <c r="F3" s="35" t="s">
        <v>12</v>
      </c>
      <c r="G3" s="218" t="s">
        <v>466</v>
      </c>
      <c r="H3" s="35" t="s">
        <v>12</v>
      </c>
      <c r="I3" s="35" t="s">
        <v>12</v>
      </c>
      <c r="J3" s="35" t="s">
        <v>12</v>
      </c>
      <c r="K3" s="35" t="s">
        <v>12</v>
      </c>
      <c r="L3" s="35" t="s">
        <v>12</v>
      </c>
    </row>
    <row r="4" spans="1:12" hidden="1" x14ac:dyDescent="0.25">
      <c r="A4" s="232"/>
      <c r="B4" s="35" t="s">
        <v>467</v>
      </c>
      <c r="C4" s="232" t="s">
        <v>468</v>
      </c>
      <c r="D4" s="232" t="s">
        <v>469</v>
      </c>
      <c r="E4" s="232" t="s">
        <v>470</v>
      </c>
      <c r="F4" s="232" t="s">
        <v>471</v>
      </c>
      <c r="G4" s="41" t="s">
        <v>472</v>
      </c>
      <c r="H4" s="232" t="s">
        <v>473</v>
      </c>
      <c r="I4" s="232" t="s">
        <v>474</v>
      </c>
      <c r="J4" s="232" t="s">
        <v>475</v>
      </c>
      <c r="K4" s="232" t="s">
        <v>476</v>
      </c>
      <c r="L4" s="232" t="s">
        <v>477</v>
      </c>
    </row>
    <row r="5" spans="1:12" x14ac:dyDescent="0.25">
      <c r="A5" s="232"/>
      <c r="B5" s="233"/>
      <c r="C5" s="566" t="s">
        <v>478</v>
      </c>
      <c r="D5" s="566" t="s">
        <v>479</v>
      </c>
      <c r="E5" s="580" t="s">
        <v>480</v>
      </c>
      <c r="F5" s="582"/>
      <c r="G5" s="580" t="s">
        <v>481</v>
      </c>
      <c r="H5" s="581"/>
      <c r="I5" s="582"/>
      <c r="J5" s="574" t="s">
        <v>482</v>
      </c>
      <c r="K5" s="576"/>
      <c r="L5" s="219"/>
    </row>
    <row r="6" spans="1:12" ht="23.25" customHeight="1" x14ac:dyDescent="0.25">
      <c r="A6" s="232"/>
      <c r="B6" s="233"/>
      <c r="C6" s="567"/>
      <c r="D6" s="567"/>
      <c r="E6" s="601" t="s">
        <v>483</v>
      </c>
      <c r="F6" s="603" t="s">
        <v>288</v>
      </c>
      <c r="G6" s="566" t="s">
        <v>484</v>
      </c>
      <c r="H6" s="580" t="s">
        <v>508</v>
      </c>
      <c r="I6" s="582"/>
      <c r="J6" s="568" t="s">
        <v>485</v>
      </c>
      <c r="K6" s="570" t="s">
        <v>486</v>
      </c>
      <c r="L6" s="607" t="s">
        <v>487</v>
      </c>
    </row>
    <row r="7" spans="1:12" ht="91.2" x14ac:dyDescent="0.25">
      <c r="A7" s="232"/>
      <c r="B7" s="233"/>
      <c r="C7" s="567"/>
      <c r="D7" s="567"/>
      <c r="E7" s="602"/>
      <c r="F7" s="604"/>
      <c r="G7" s="567"/>
      <c r="H7" s="522" t="s">
        <v>507</v>
      </c>
      <c r="I7" s="234" t="s">
        <v>509</v>
      </c>
      <c r="J7" s="605"/>
      <c r="K7" s="606"/>
      <c r="L7" s="608"/>
    </row>
    <row r="8" spans="1:12" x14ac:dyDescent="0.25">
      <c r="A8" s="232"/>
      <c r="B8" s="233"/>
      <c r="C8" s="112" t="s">
        <v>45</v>
      </c>
      <c r="D8" s="112" t="s">
        <v>46</v>
      </c>
      <c r="E8" s="235" t="s">
        <v>47</v>
      </c>
      <c r="F8" s="236" t="s">
        <v>48</v>
      </c>
      <c r="G8" s="237" t="s">
        <v>49</v>
      </c>
      <c r="H8" s="237" t="s">
        <v>50</v>
      </c>
      <c r="I8" s="235" t="s">
        <v>51</v>
      </c>
      <c r="J8" s="237" t="s">
        <v>53</v>
      </c>
      <c r="K8" s="116" t="s">
        <v>54</v>
      </c>
      <c r="L8" s="236" t="s">
        <v>55</v>
      </c>
    </row>
    <row r="9" spans="1:12" x14ac:dyDescent="0.25">
      <c r="A9" s="232"/>
      <c r="B9" s="119" t="s">
        <v>59</v>
      </c>
      <c r="C9" s="220"/>
      <c r="D9" s="220"/>
      <c r="E9" s="235"/>
      <c r="F9" s="236"/>
      <c r="G9" s="235"/>
      <c r="H9" s="235"/>
      <c r="I9" s="235"/>
      <c r="J9" s="237"/>
      <c r="K9" s="236"/>
      <c r="L9" s="236"/>
    </row>
    <row r="10" spans="1:12" ht="91.2" x14ac:dyDescent="0.25">
      <c r="A10" s="626" t="s">
        <v>488</v>
      </c>
      <c r="B10" s="130" t="s">
        <v>231</v>
      </c>
      <c r="C10" s="227" t="s">
        <v>510</v>
      </c>
      <c r="D10" s="131" t="s">
        <v>511</v>
      </c>
      <c r="E10" s="238" t="s">
        <v>600</v>
      </c>
      <c r="F10" s="135" t="s">
        <v>1028</v>
      </c>
      <c r="G10" s="239">
        <f>5504.2/'Average wages'!B4</f>
        <v>6.5274130023820098E-2</v>
      </c>
      <c r="H10" s="238" t="s">
        <v>512</v>
      </c>
      <c r="I10" s="229">
        <v>0</v>
      </c>
      <c r="J10" s="240" t="str">
        <f>"AUD 52,706 ("&amp;TEXT(52706/'Average wages'!B4,"0%")&amp;" of AW)"</f>
        <v>AUD 52,706 (63% of AW)</v>
      </c>
      <c r="K10" s="241" t="str">
        <f>"Withdrawal occurs in two stages: benefit withdrawn at rate of 20% until it reaches a base amount, then at 30% above a higher threshold of AUD 94,316"</f>
        <v>Withdrawal occurs in two stages: benefit withdrawn at rate of 20% until it reaches a base amount, then at 30% above a higher threshold of AUD 94,316</v>
      </c>
      <c r="L10" s="230" t="s">
        <v>145</v>
      </c>
    </row>
    <row r="11" spans="1:12" ht="102.6" x14ac:dyDescent="0.25">
      <c r="A11" s="626" t="s">
        <v>490</v>
      </c>
      <c r="B11" s="412"/>
      <c r="C11" s="413" t="s">
        <v>513</v>
      </c>
      <c r="D11" s="414" t="s">
        <v>511</v>
      </c>
      <c r="E11" s="418" t="s">
        <v>600</v>
      </c>
      <c r="F11" s="410" t="s">
        <v>145</v>
      </c>
      <c r="G11" s="419">
        <f>4412.85/'Average wages'!B4</f>
        <v>5.2331845622545427E-2</v>
      </c>
      <c r="H11" s="418" t="s">
        <v>539</v>
      </c>
      <c r="I11" s="417" t="s">
        <v>164</v>
      </c>
      <c r="J11" s="242" t="str">
        <f>"AUD 100,000 ("&amp;TEXT(100000/'Average wages'!B4,"0%")&amp;" of AW) for lone parents and higher earner in couples.
AUD 27,613 ("&amp;TEXT(27613/'Average wages'!B4,"0%")&amp;" of AW) for lower earner in couples."</f>
        <v>AUD 100,000 (119% of AW) for lone parents and higher earner in couples.
AUD 27,613 (33% of AW) for lower earner in couples.</v>
      </c>
      <c r="K11" s="243" t="s">
        <v>1029</v>
      </c>
      <c r="L11" s="416" t="s">
        <v>145</v>
      </c>
    </row>
    <row r="12" spans="1:12" ht="45.6" x14ac:dyDescent="0.25">
      <c r="A12" s="626" t="s">
        <v>491</v>
      </c>
      <c r="B12" s="136"/>
      <c r="C12" s="228" t="s">
        <v>514</v>
      </c>
      <c r="D12" s="137" t="s">
        <v>511</v>
      </c>
      <c r="E12" s="244" t="s">
        <v>1262</v>
      </c>
      <c r="F12" s="82" t="s">
        <v>1261</v>
      </c>
      <c r="G12" s="245">
        <f>(752.6*26+12*26+28.8*4+6.2*26)/'Average wages'!B4</f>
        <v>0.23902935299591552</v>
      </c>
      <c r="H12" s="244">
        <v>0</v>
      </c>
      <c r="I12" s="407" t="s">
        <v>164</v>
      </c>
      <c r="J12" s="246" t="str">
        <f>"AUD 188.60/fortnight ("&amp;TEXT(188.6*26/'Average wages'!B4,"0%")&amp;" of AW) for a one-child family with an addition of AUD 24.60 ("&amp;TEXT(24.6*26/'Average wages'!B4,"0%")&amp;" of AW) for each subsequent child"</f>
        <v>AUD 188.60/fortnight (6% of AW) for a one-child family with an addition of AUD 24.60 (1% of AW) for each subsequent child</v>
      </c>
      <c r="K12" s="247">
        <v>0.4</v>
      </c>
      <c r="L12" s="513" t="s">
        <v>320</v>
      </c>
    </row>
    <row r="13" spans="1:12" ht="45.6" x14ac:dyDescent="0.25">
      <c r="A13" s="626" t="s">
        <v>488</v>
      </c>
      <c r="B13" s="130" t="s">
        <v>60</v>
      </c>
      <c r="C13" s="131" t="s">
        <v>866</v>
      </c>
      <c r="D13" s="131" t="s">
        <v>515</v>
      </c>
      <c r="E13" s="238" t="s">
        <v>867</v>
      </c>
      <c r="F13" s="135" t="s">
        <v>145</v>
      </c>
      <c r="G13" s="239">
        <f>141.5*12/'Average wages'!B5</f>
        <v>3.6017980302491509E-2</v>
      </c>
      <c r="H13" s="238" t="s">
        <v>512</v>
      </c>
      <c r="I13" s="248" t="s">
        <v>868</v>
      </c>
      <c r="J13" s="520" t="str">
        <f>"For children aged 19 or over, there is a means test against their own income, with an income disregard of EUR 10,000 ("&amp;TEXT(10000/'Average wages'!B5,"0%")&amp;" of AW)"</f>
        <v>For children aged 19 or over, there is a means test against their own income, with an income disregard of EUR 10,000 (21% of AW)</v>
      </c>
      <c r="K13" s="230" t="s">
        <v>1299</v>
      </c>
      <c r="L13" s="230" t="s">
        <v>109</v>
      </c>
    </row>
    <row r="14" spans="1:12" x14ac:dyDescent="0.25">
      <c r="A14" s="626" t="s">
        <v>490</v>
      </c>
      <c r="B14" s="412"/>
      <c r="C14" s="414" t="s">
        <v>518</v>
      </c>
      <c r="D14" s="414" t="s">
        <v>515</v>
      </c>
      <c r="E14" s="418" t="s">
        <v>867</v>
      </c>
      <c r="F14" s="410" t="s">
        <v>1263</v>
      </c>
      <c r="G14" s="419">
        <f>700.8/'Average wages'!B5</f>
        <v>1.4865371375727944E-2</v>
      </c>
      <c r="H14" s="418">
        <v>0</v>
      </c>
      <c r="I14" s="420">
        <v>0</v>
      </c>
      <c r="J14" s="519" t="s">
        <v>109</v>
      </c>
      <c r="K14" s="416" t="s">
        <v>109</v>
      </c>
      <c r="L14" s="416" t="s">
        <v>109</v>
      </c>
    </row>
    <row r="15" spans="1:12" x14ac:dyDescent="0.25">
      <c r="A15" s="626" t="s">
        <v>489</v>
      </c>
      <c r="B15" s="412"/>
      <c r="C15" s="414" t="s">
        <v>517</v>
      </c>
      <c r="D15" s="414" t="s">
        <v>515</v>
      </c>
      <c r="E15" s="418" t="s">
        <v>1255</v>
      </c>
      <c r="F15" s="410" t="s">
        <v>145</v>
      </c>
      <c r="G15" s="249">
        <f>100/'Average wages'!B5</f>
        <v>2.1212002533858368E-3</v>
      </c>
      <c r="H15" s="418">
        <v>0</v>
      </c>
      <c r="I15" s="420">
        <v>0</v>
      </c>
      <c r="J15" s="519" t="s">
        <v>109</v>
      </c>
      <c r="K15" s="416" t="s">
        <v>109</v>
      </c>
      <c r="L15" s="416" t="s">
        <v>109</v>
      </c>
    </row>
    <row r="16" spans="1:12" ht="34.200000000000003" x14ac:dyDescent="0.25">
      <c r="A16" s="626" t="s">
        <v>491</v>
      </c>
      <c r="B16" s="136"/>
      <c r="C16" s="137" t="s">
        <v>869</v>
      </c>
      <c r="D16" s="250" t="s">
        <v>515</v>
      </c>
      <c r="E16" s="244" t="s">
        <v>516</v>
      </c>
      <c r="F16" s="82" t="s">
        <v>1263</v>
      </c>
      <c r="G16" s="245">
        <f>494/'Average wages'!B5</f>
        <v>1.0478729251726033E-2</v>
      </c>
      <c r="H16" s="244">
        <v>0</v>
      </c>
      <c r="I16" s="251" t="s">
        <v>836</v>
      </c>
      <c r="J16" s="512" t="s">
        <v>109</v>
      </c>
      <c r="K16" s="513" t="s">
        <v>109</v>
      </c>
      <c r="L16" s="513" t="s">
        <v>109</v>
      </c>
    </row>
    <row r="17" spans="1:12" ht="45.6" x14ac:dyDescent="0.25">
      <c r="A17" s="232" t="s">
        <v>488</v>
      </c>
      <c r="B17" s="130" t="s">
        <v>307</v>
      </c>
      <c r="C17" s="131" t="s">
        <v>519</v>
      </c>
      <c r="D17" s="131" t="s">
        <v>515</v>
      </c>
      <c r="E17" s="238" t="s">
        <v>520</v>
      </c>
      <c r="F17" s="135" t="s">
        <v>145</v>
      </c>
      <c r="G17" s="239">
        <f>110.29*12/'[1]Average wages'!B6</f>
        <v>2.73829908773227E-2</v>
      </c>
      <c r="H17" s="238" t="s">
        <v>512</v>
      </c>
      <c r="I17" s="415" t="s">
        <v>1281</v>
      </c>
      <c r="J17" s="520" t="s">
        <v>109</v>
      </c>
      <c r="K17" s="230" t="s">
        <v>109</v>
      </c>
      <c r="L17" s="230" t="s">
        <v>119</v>
      </c>
    </row>
    <row r="18" spans="1:12" ht="34.200000000000003" x14ac:dyDescent="0.25">
      <c r="A18" s="232" t="s">
        <v>491</v>
      </c>
      <c r="B18" s="412"/>
      <c r="C18" s="414" t="s">
        <v>521</v>
      </c>
      <c r="D18" s="414" t="s">
        <v>511</v>
      </c>
      <c r="E18" s="418" t="s">
        <v>520</v>
      </c>
      <c r="F18" s="410" t="s">
        <v>562</v>
      </c>
      <c r="G18" s="419">
        <f>47.81*12/'[1]Average wages'!B6</f>
        <v>1.1870349023889729E-2</v>
      </c>
      <c r="H18" s="418">
        <v>0</v>
      </c>
      <c r="I18" s="417" t="s">
        <v>1282</v>
      </c>
      <c r="J18" s="519" t="str">
        <f>"EUR 29,428.92 ("&amp;TEXT(29428.92/'Average wages'!B6,"0%")&amp;" of AW)"</f>
        <v>EUR 29,428.92 (61% of AW)</v>
      </c>
      <c r="K18" s="416" t="s">
        <v>1300</v>
      </c>
      <c r="L18" s="416" t="s">
        <v>145</v>
      </c>
    </row>
    <row r="19" spans="1:12" ht="34.200000000000003" x14ac:dyDescent="0.25">
      <c r="A19" s="232" t="s">
        <v>492</v>
      </c>
      <c r="B19" s="136"/>
      <c r="C19" s="137" t="s">
        <v>522</v>
      </c>
      <c r="D19" s="137" t="s">
        <v>515</v>
      </c>
      <c r="E19" s="244" t="s">
        <v>119</v>
      </c>
      <c r="F19" s="82" t="s">
        <v>1264</v>
      </c>
      <c r="G19" s="245">
        <f>84.47*12/'[1]Average wages'!B6</f>
        <v>2.0972356871950752E-2</v>
      </c>
      <c r="H19" s="244">
        <v>0</v>
      </c>
      <c r="I19" s="407" t="s">
        <v>164</v>
      </c>
      <c r="J19" s="246" t="s">
        <v>109</v>
      </c>
      <c r="K19" s="513" t="s">
        <v>109</v>
      </c>
      <c r="L19" s="513" t="s">
        <v>119</v>
      </c>
    </row>
    <row r="20" spans="1:12" ht="34.200000000000003" x14ac:dyDescent="0.25">
      <c r="A20" s="626" t="s">
        <v>488</v>
      </c>
      <c r="B20" s="143" t="s">
        <v>493</v>
      </c>
      <c r="C20" s="131" t="s">
        <v>523</v>
      </c>
      <c r="D20" s="131" t="s">
        <v>524</v>
      </c>
      <c r="E20" s="238">
        <v>17</v>
      </c>
      <c r="F20" s="135" t="s">
        <v>145</v>
      </c>
      <c r="G20" s="239">
        <f>6400/'Average wages'!B7</f>
        <v>0.11965547408335703</v>
      </c>
      <c r="H20" s="238">
        <v>0</v>
      </c>
      <c r="I20" s="229">
        <v>0</v>
      </c>
      <c r="J20" s="240" t="str">
        <f>"CAD 30,000 ("&amp;TEXT(30000/'Average wages'!B7,"0%")&amp;" of AW)"</f>
        <v>CAD 30,000 (56% of AW)</v>
      </c>
      <c r="K20" s="230" t="s">
        <v>1301</v>
      </c>
      <c r="L20" s="230" t="s">
        <v>119</v>
      </c>
    </row>
    <row r="21" spans="1:12" ht="34.200000000000003" x14ac:dyDescent="0.25">
      <c r="A21" s="626" t="s">
        <v>490</v>
      </c>
      <c r="B21" s="412"/>
      <c r="C21" s="414" t="s">
        <v>525</v>
      </c>
      <c r="D21" s="414" t="s">
        <v>524</v>
      </c>
      <c r="E21" s="418" t="s">
        <v>119</v>
      </c>
      <c r="F21" s="410" t="s">
        <v>145</v>
      </c>
      <c r="G21" s="419">
        <f>(1922-1059)/'Average wages'!B7</f>
        <v>1.6134792833427673E-2</v>
      </c>
      <c r="H21" s="418">
        <v>0</v>
      </c>
      <c r="I21" s="420" t="s">
        <v>539</v>
      </c>
      <c r="J21" s="242" t="str">
        <f>"CAD 16,593 ("&amp;TEXT(16593/'Average wages'!B7,"0%")&amp;" of AW)"</f>
        <v>CAD 16,593 (31% of AW)</v>
      </c>
      <c r="K21" s="416">
        <v>0.15</v>
      </c>
      <c r="L21" s="416" t="s">
        <v>119</v>
      </c>
    </row>
    <row r="22" spans="1:12" ht="22.8" x14ac:dyDescent="0.25">
      <c r="A22" s="626" t="s">
        <v>494</v>
      </c>
      <c r="B22" s="412"/>
      <c r="C22" s="414" t="s">
        <v>526</v>
      </c>
      <c r="D22" s="414" t="s">
        <v>511</v>
      </c>
      <c r="E22" s="418">
        <v>17</v>
      </c>
      <c r="F22" s="410" t="s">
        <v>145</v>
      </c>
      <c r="G22" s="419">
        <f>1378/'Average wages'!B7</f>
        <v>2.5763319263572809E-2</v>
      </c>
      <c r="H22" s="418">
        <v>0</v>
      </c>
      <c r="I22" s="420">
        <v>0</v>
      </c>
      <c r="J22" s="242" t="str">
        <f>"CAD 21,037 ("&amp;TEXT(21037/'Average wages'!B7,"0%")&amp;" of AW) of adjusted family net income"</f>
        <v>CAD 21,037 (39% of AW) of adjusted family net income</v>
      </c>
      <c r="K22" s="416">
        <v>0.08</v>
      </c>
      <c r="L22" s="416" t="s">
        <v>119</v>
      </c>
    </row>
    <row r="23" spans="1:12" ht="34.200000000000003" x14ac:dyDescent="0.25">
      <c r="A23" s="626" t="s">
        <v>495</v>
      </c>
      <c r="B23" s="412"/>
      <c r="C23" s="413" t="s">
        <v>527</v>
      </c>
      <c r="D23" s="414" t="s">
        <v>524</v>
      </c>
      <c r="E23" s="418">
        <v>17</v>
      </c>
      <c r="F23" s="410" t="s">
        <v>145</v>
      </c>
      <c r="G23" s="419">
        <f>301/'Average wages'!B7</f>
        <v>5.6275465154828853E-3</v>
      </c>
      <c r="H23" s="418">
        <v>0</v>
      </c>
      <c r="I23" s="420">
        <v>0</v>
      </c>
      <c r="J23" s="242" t="str">
        <f>"CAD 28,944 ("&amp;TEXT(28944/'Average wages'!B7,"0%")&amp;" of AW) of net family income"</f>
        <v>CAD 28,944 (54% of AW) of net family income</v>
      </c>
      <c r="K23" s="416">
        <v>0.04</v>
      </c>
      <c r="L23" s="416" t="s">
        <v>119</v>
      </c>
    </row>
    <row r="24" spans="1:12" ht="34.200000000000003" x14ac:dyDescent="0.25">
      <c r="A24" s="626" t="s">
        <v>496</v>
      </c>
      <c r="B24" s="412"/>
      <c r="C24" s="413" t="s">
        <v>528</v>
      </c>
      <c r="D24" s="414" t="s">
        <v>524</v>
      </c>
      <c r="E24" s="418">
        <v>18</v>
      </c>
      <c r="F24" s="410" t="s">
        <v>145</v>
      </c>
      <c r="G24" s="419">
        <f>149/'Average wages'!B7</f>
        <v>2.7857290060031557E-3</v>
      </c>
      <c r="H24" s="418">
        <v>0</v>
      </c>
      <c r="I24" s="420">
        <v>0</v>
      </c>
      <c r="J24" s="242" t="str">
        <f>"CAD 36,959 ("&amp;TEXT(36959/'Average wages'!B7,"0%")&amp;" of AW) of net family income"</f>
        <v>CAD 36,959 (69% of AW) of net family income</v>
      </c>
      <c r="K24" s="416">
        <v>0.05</v>
      </c>
      <c r="L24" s="416" t="s">
        <v>119</v>
      </c>
    </row>
    <row r="25" spans="1:12" ht="45.6" x14ac:dyDescent="0.25">
      <c r="A25" s="232" t="s">
        <v>491</v>
      </c>
      <c r="B25" s="412"/>
      <c r="C25" s="414" t="s">
        <v>529</v>
      </c>
      <c r="D25" s="414" t="s">
        <v>524</v>
      </c>
      <c r="E25" s="418">
        <v>17</v>
      </c>
      <c r="F25" s="410" t="s">
        <v>562</v>
      </c>
      <c r="G25" s="419">
        <f>284/'Average wages'!B7</f>
        <v>5.309711662448968E-3</v>
      </c>
      <c r="H25" s="418">
        <v>0</v>
      </c>
      <c r="I25" s="417" t="s">
        <v>164</v>
      </c>
      <c r="J25" s="242" t="str">
        <f>"As above, withdrawal of Goods and Services Tax Credit begins at "&amp;J24</f>
        <v>As above, withdrawal of Goods and Services Tax Credit begins at CAD 36,959 (69% of AW) of net family income</v>
      </c>
      <c r="K25" s="416">
        <v>0.05</v>
      </c>
      <c r="L25" s="416" t="s">
        <v>119</v>
      </c>
    </row>
    <row r="26" spans="1:12" ht="34.200000000000003" x14ac:dyDescent="0.25">
      <c r="A26" s="232" t="s">
        <v>492</v>
      </c>
      <c r="B26" s="412"/>
      <c r="C26" s="414" t="s">
        <v>530</v>
      </c>
      <c r="D26" s="414" t="s">
        <v>524</v>
      </c>
      <c r="E26" s="418">
        <v>17</v>
      </c>
      <c r="F26" s="410" t="s">
        <v>145</v>
      </c>
      <c r="G26" s="419">
        <f>1745.25/'Average wages'!B7</f>
        <v>3.2629486897496694E-2</v>
      </c>
      <c r="H26" s="418">
        <v>0</v>
      </c>
      <c r="I26" s="417" t="s">
        <v>164</v>
      </c>
      <c r="J26" s="242" t="s">
        <v>1294</v>
      </c>
      <c r="K26" s="416">
        <v>0.15</v>
      </c>
      <c r="L26" s="416" t="s">
        <v>119</v>
      </c>
    </row>
    <row r="27" spans="1:12" ht="22.8" x14ac:dyDescent="0.25">
      <c r="A27" s="232" t="s">
        <v>498</v>
      </c>
      <c r="B27" s="136"/>
      <c r="C27" s="137" t="s">
        <v>531</v>
      </c>
      <c r="D27" s="137" t="s">
        <v>532</v>
      </c>
      <c r="E27" s="244">
        <v>17</v>
      </c>
      <c r="F27" s="82" t="s">
        <v>145</v>
      </c>
      <c r="G27" s="245">
        <f>436.12/'Average wages'!B6</f>
        <v>9.0059282442636369E-3</v>
      </c>
      <c r="H27" s="244">
        <v>0</v>
      </c>
      <c r="I27" s="407" t="s">
        <v>164</v>
      </c>
      <c r="J27" s="246" t="str">
        <f>"CAD 864 ("&amp;TEXT(864/'Average wages'!B7,"0.0%")&amp;" of AW) of dependent's income"</f>
        <v>CAD 864 (1.6% of AW) of dependent's income</v>
      </c>
      <c r="K27" s="513">
        <v>5.0500000000000003E-2</v>
      </c>
      <c r="L27" s="513" t="s">
        <v>119</v>
      </c>
    </row>
    <row r="28" spans="1:12" ht="57" x14ac:dyDescent="0.25">
      <c r="A28" s="626" t="s">
        <v>488</v>
      </c>
      <c r="B28" s="130" t="s">
        <v>63</v>
      </c>
      <c r="C28" s="131" t="s">
        <v>533</v>
      </c>
      <c r="D28" s="131" t="s">
        <v>511</v>
      </c>
      <c r="E28" s="238" t="s">
        <v>534</v>
      </c>
      <c r="F28" s="135" t="s">
        <v>145</v>
      </c>
      <c r="G28" s="239">
        <v>1.5673142482328876E-2</v>
      </c>
      <c r="H28" s="238">
        <v>0</v>
      </c>
      <c r="I28" s="229">
        <v>0</v>
      </c>
      <c r="J28" s="520" t="str">
        <f>"CLP 2,644,248 ("&amp;TEXT(2644248/'Average wages'!B8,"0%")&amp;" of AW)"</f>
        <v>CLP 2,644,248 (28% of AW)</v>
      </c>
      <c r="K28" s="230" t="s">
        <v>535</v>
      </c>
      <c r="L28" s="230" t="s">
        <v>119</v>
      </c>
    </row>
    <row r="29" spans="1:12" ht="34.200000000000003" x14ac:dyDescent="0.25">
      <c r="A29" s="626" t="s">
        <v>489</v>
      </c>
      <c r="B29" s="136"/>
      <c r="C29" s="137" t="s">
        <v>536</v>
      </c>
      <c r="D29" s="137" t="s">
        <v>511</v>
      </c>
      <c r="E29" s="244">
        <v>17</v>
      </c>
      <c r="F29" s="82" t="s">
        <v>1265</v>
      </c>
      <c r="G29" s="245">
        <v>1.5309749426861015E-2</v>
      </c>
      <c r="H29" s="244">
        <v>0</v>
      </c>
      <c r="I29" s="251">
        <v>0</v>
      </c>
      <c r="J29" s="512" t="str">
        <f>"CLP 1,440,000 ("&amp;TEXT(1440000/'Average wages'!B8,"0%")&amp;" of AW)"</f>
        <v>CLP 1,440,000 (15% of AW)</v>
      </c>
      <c r="K29" s="513" t="s">
        <v>1296</v>
      </c>
      <c r="L29" s="513" t="s">
        <v>119</v>
      </c>
    </row>
    <row r="30" spans="1:12" ht="34.200000000000003" x14ac:dyDescent="0.25">
      <c r="A30" s="232" t="s">
        <v>488</v>
      </c>
      <c r="B30" s="128" t="s">
        <v>308</v>
      </c>
      <c r="C30" s="125" t="s">
        <v>537</v>
      </c>
      <c r="D30" s="125" t="s">
        <v>511</v>
      </c>
      <c r="E30" s="252" t="s">
        <v>538</v>
      </c>
      <c r="F30" s="405" t="s">
        <v>145</v>
      </c>
      <c r="G30" s="627">
        <v>2.5568382630710911E-2</v>
      </c>
      <c r="H30" s="252" t="s">
        <v>512</v>
      </c>
      <c r="I30" s="253">
        <v>0</v>
      </c>
      <c r="J30" s="509" t="s">
        <v>979</v>
      </c>
      <c r="K30" s="511" t="s">
        <v>1296</v>
      </c>
      <c r="L30" s="511" t="s">
        <v>320</v>
      </c>
    </row>
    <row r="31" spans="1:12" x14ac:dyDescent="0.25">
      <c r="A31" s="232" t="s">
        <v>488</v>
      </c>
      <c r="B31" s="130" t="s">
        <v>65</v>
      </c>
      <c r="C31" s="131" t="s">
        <v>984</v>
      </c>
      <c r="D31" s="131" t="s">
        <v>515</v>
      </c>
      <c r="E31" s="238">
        <v>17</v>
      </c>
      <c r="F31" s="135" t="s">
        <v>145</v>
      </c>
      <c r="G31" s="239">
        <f>3567*4/'Average wages'!B10</f>
        <v>3.3655712045216744E-2</v>
      </c>
      <c r="H31" s="238" t="s">
        <v>539</v>
      </c>
      <c r="I31" s="229">
        <v>0</v>
      </c>
      <c r="J31" s="520" t="str">
        <f>"DKK 765,800 ("&amp;TEXT(100*765800/'Average wages'!B10,0)&amp;"% of AW)"</f>
        <v>DKK 765,800 (181% of AW)</v>
      </c>
      <c r="K31" s="230">
        <v>0.02</v>
      </c>
      <c r="L31" s="230" t="s">
        <v>109</v>
      </c>
    </row>
    <row r="32" spans="1:12" ht="22.8" x14ac:dyDescent="0.25">
      <c r="A32" s="232" t="s">
        <v>491</v>
      </c>
      <c r="B32" s="412"/>
      <c r="C32" s="414" t="s">
        <v>985</v>
      </c>
      <c r="D32" s="414" t="s">
        <v>515</v>
      </c>
      <c r="E32" s="418">
        <v>17</v>
      </c>
      <c r="F32" s="410" t="s">
        <v>562</v>
      </c>
      <c r="G32" s="419">
        <f>(5652+5700)/'Average wages'!B10</f>
        <v>2.6777378969533253E-2</v>
      </c>
      <c r="H32" s="418">
        <v>0</v>
      </c>
      <c r="I32" s="254" t="s">
        <v>1283</v>
      </c>
      <c r="J32" s="519" t="s">
        <v>109</v>
      </c>
      <c r="K32" s="416" t="s">
        <v>109</v>
      </c>
      <c r="L32" s="416" t="s">
        <v>109</v>
      </c>
    </row>
    <row r="33" spans="1:12" ht="34.200000000000003" x14ac:dyDescent="0.25">
      <c r="A33" s="232" t="s">
        <v>492</v>
      </c>
      <c r="B33" s="136"/>
      <c r="C33" s="137" t="s">
        <v>986</v>
      </c>
      <c r="D33" s="137" t="s">
        <v>515</v>
      </c>
      <c r="E33" s="244">
        <v>17</v>
      </c>
      <c r="F33" s="82" t="s">
        <v>543</v>
      </c>
      <c r="G33" s="245">
        <f>(16320)/'Average wages'!B10</f>
        <v>3.8496020505882904E-2</v>
      </c>
      <c r="H33" s="244">
        <v>0</v>
      </c>
      <c r="I33" s="251">
        <v>0</v>
      </c>
      <c r="J33" s="512" t="s">
        <v>109</v>
      </c>
      <c r="K33" s="513" t="s">
        <v>109</v>
      </c>
      <c r="L33" s="513" t="s">
        <v>109</v>
      </c>
    </row>
    <row r="34" spans="1:12" ht="22.8" x14ac:dyDescent="0.25">
      <c r="A34" s="232" t="s">
        <v>488</v>
      </c>
      <c r="B34" s="130" t="s">
        <v>66</v>
      </c>
      <c r="C34" s="131" t="s">
        <v>540</v>
      </c>
      <c r="D34" s="131" t="s">
        <v>515</v>
      </c>
      <c r="E34" s="238" t="s">
        <v>541</v>
      </c>
      <c r="F34" s="135" t="s">
        <v>145</v>
      </c>
      <c r="G34" s="239">
        <v>4.2000000000000003E-2</v>
      </c>
      <c r="H34" s="238">
        <v>0</v>
      </c>
      <c r="I34" s="229" t="s">
        <v>1284</v>
      </c>
      <c r="J34" s="520" t="s">
        <v>109</v>
      </c>
      <c r="K34" s="230" t="s">
        <v>109</v>
      </c>
      <c r="L34" s="230" t="s">
        <v>109</v>
      </c>
    </row>
    <row r="35" spans="1:12" ht="22.8" x14ac:dyDescent="0.25">
      <c r="A35" s="232" t="s">
        <v>491</v>
      </c>
      <c r="B35" s="412"/>
      <c r="C35" s="414" t="s">
        <v>542</v>
      </c>
      <c r="D35" s="414" t="s">
        <v>515</v>
      </c>
      <c r="E35" s="418" t="s">
        <v>541</v>
      </c>
      <c r="F35" s="410" t="s">
        <v>145</v>
      </c>
      <c r="G35" s="419">
        <v>1.4999999999999999E-2</v>
      </c>
      <c r="H35" s="418">
        <v>0</v>
      </c>
      <c r="I35" s="420">
        <v>0</v>
      </c>
      <c r="J35" s="519" t="s">
        <v>109</v>
      </c>
      <c r="K35" s="416" t="s">
        <v>109</v>
      </c>
      <c r="L35" s="416" t="s">
        <v>109</v>
      </c>
    </row>
    <row r="36" spans="1:12" ht="24" customHeight="1" x14ac:dyDescent="0.25">
      <c r="A36" s="232" t="s">
        <v>492</v>
      </c>
      <c r="B36" s="136"/>
      <c r="C36" s="137" t="s">
        <v>927</v>
      </c>
      <c r="D36" s="137" t="s">
        <v>515</v>
      </c>
      <c r="E36" s="244" t="s">
        <v>574</v>
      </c>
      <c r="F36" s="82" t="s">
        <v>543</v>
      </c>
      <c r="G36" s="245">
        <v>7.5999999999999998E-2</v>
      </c>
      <c r="H36" s="244">
        <v>0</v>
      </c>
      <c r="I36" s="251">
        <v>0</v>
      </c>
      <c r="J36" s="512" t="s">
        <v>109</v>
      </c>
      <c r="K36" s="513" t="s">
        <v>109</v>
      </c>
      <c r="L36" s="513" t="s">
        <v>109</v>
      </c>
    </row>
    <row r="37" spans="1:12" x14ac:dyDescent="0.25">
      <c r="A37" s="232" t="s">
        <v>488</v>
      </c>
      <c r="B37" s="130" t="s">
        <v>67</v>
      </c>
      <c r="C37" s="131" t="s">
        <v>544</v>
      </c>
      <c r="D37" s="131" t="s">
        <v>515</v>
      </c>
      <c r="E37" s="238">
        <v>16</v>
      </c>
      <c r="F37" s="135" t="s">
        <v>145</v>
      </c>
      <c r="G37" s="239">
        <v>2.5999999999999999E-2</v>
      </c>
      <c r="H37" s="238">
        <v>0</v>
      </c>
      <c r="I37" s="229" t="s">
        <v>512</v>
      </c>
      <c r="J37" s="520" t="s">
        <v>109</v>
      </c>
      <c r="K37" s="230" t="s">
        <v>109</v>
      </c>
      <c r="L37" s="230" t="s">
        <v>109</v>
      </c>
    </row>
    <row r="38" spans="1:12" ht="22.8" x14ac:dyDescent="0.25">
      <c r="A38" s="232" t="s">
        <v>491</v>
      </c>
      <c r="B38" s="412"/>
      <c r="C38" s="414" t="s">
        <v>545</v>
      </c>
      <c r="D38" s="414" t="s">
        <v>515</v>
      </c>
      <c r="E38" s="418">
        <v>16</v>
      </c>
      <c r="F38" s="410" t="s">
        <v>562</v>
      </c>
      <c r="G38" s="419">
        <v>1.4999999999999999E-2</v>
      </c>
      <c r="H38" s="418">
        <v>0</v>
      </c>
      <c r="I38" s="420">
        <v>0</v>
      </c>
      <c r="J38" s="519" t="s">
        <v>109</v>
      </c>
      <c r="K38" s="416" t="s">
        <v>109</v>
      </c>
      <c r="L38" s="416" t="s">
        <v>109</v>
      </c>
    </row>
    <row r="39" spans="1:12" x14ac:dyDescent="0.25">
      <c r="A39" s="232" t="s">
        <v>492</v>
      </c>
      <c r="B39" s="136"/>
      <c r="C39" s="137" t="s">
        <v>911</v>
      </c>
      <c r="D39" s="137" t="s">
        <v>515</v>
      </c>
      <c r="E39" s="244">
        <v>17</v>
      </c>
      <c r="F39" s="82" t="s">
        <v>145</v>
      </c>
      <c r="G39" s="245">
        <v>4.3121618436195726E-2</v>
      </c>
      <c r="H39" s="244">
        <v>0</v>
      </c>
      <c r="I39" s="251">
        <v>0</v>
      </c>
      <c r="J39" s="512" t="s">
        <v>109</v>
      </c>
      <c r="K39" s="513" t="s">
        <v>109</v>
      </c>
      <c r="L39" s="513" t="s">
        <v>109</v>
      </c>
    </row>
    <row r="40" spans="1:12" ht="34.200000000000003" x14ac:dyDescent="0.25">
      <c r="A40" s="626" t="s">
        <v>488</v>
      </c>
      <c r="B40" s="130" t="s">
        <v>68</v>
      </c>
      <c r="C40" s="131" t="s">
        <v>546</v>
      </c>
      <c r="D40" s="131" t="s">
        <v>515</v>
      </c>
      <c r="E40" s="238">
        <v>19</v>
      </c>
      <c r="F40" s="135" t="s">
        <v>1266</v>
      </c>
      <c r="G40" s="239">
        <v>3.9674061056246851E-2</v>
      </c>
      <c r="H40" s="238" t="s">
        <v>512</v>
      </c>
      <c r="I40" s="229" t="s">
        <v>1285</v>
      </c>
      <c r="J40" s="520" t="s">
        <v>109</v>
      </c>
      <c r="K40" s="230" t="s">
        <v>109</v>
      </c>
      <c r="L40" s="230" t="s">
        <v>109</v>
      </c>
    </row>
    <row r="41" spans="1:12" ht="57" x14ac:dyDescent="0.25">
      <c r="A41" s="626" t="s">
        <v>489</v>
      </c>
      <c r="B41" s="412"/>
      <c r="C41" s="414" t="s">
        <v>547</v>
      </c>
      <c r="D41" s="414" t="s">
        <v>511</v>
      </c>
      <c r="E41" s="418">
        <v>2</v>
      </c>
      <c r="F41" s="410" t="s">
        <v>145</v>
      </c>
      <c r="G41" s="419">
        <v>5.6403286892347797E-2</v>
      </c>
      <c r="H41" s="418">
        <v>0</v>
      </c>
      <c r="I41" s="420">
        <v>0</v>
      </c>
      <c r="J41" s="242" t="s">
        <v>548</v>
      </c>
      <c r="K41" s="416" t="s">
        <v>1302</v>
      </c>
      <c r="L41" s="416" t="s">
        <v>119</v>
      </c>
    </row>
    <row r="42" spans="1:12" ht="57" x14ac:dyDescent="0.25">
      <c r="A42" s="626" t="s">
        <v>490</v>
      </c>
      <c r="B42" s="412"/>
      <c r="C42" s="414" t="s">
        <v>1025</v>
      </c>
      <c r="D42" s="414" t="s">
        <v>511</v>
      </c>
      <c r="E42" s="418" t="s">
        <v>1256</v>
      </c>
      <c r="F42" s="410" t="s">
        <v>1258</v>
      </c>
      <c r="G42" s="419">
        <v>5.1638270093521274E-2</v>
      </c>
      <c r="H42" s="418">
        <v>0</v>
      </c>
      <c r="I42" s="420">
        <v>0</v>
      </c>
      <c r="J42" s="242" t="s">
        <v>548</v>
      </c>
      <c r="K42" s="416" t="s">
        <v>1302</v>
      </c>
      <c r="L42" s="416" t="s">
        <v>119</v>
      </c>
    </row>
    <row r="43" spans="1:12" ht="57" x14ac:dyDescent="0.25">
      <c r="A43" s="626" t="s">
        <v>494</v>
      </c>
      <c r="B43" s="412"/>
      <c r="C43" s="414" t="s">
        <v>549</v>
      </c>
      <c r="D43" s="414" t="s">
        <v>511</v>
      </c>
      <c r="E43" s="418" t="s">
        <v>1257</v>
      </c>
      <c r="F43" s="410" t="s">
        <v>145</v>
      </c>
      <c r="G43" s="249">
        <v>9.2696790572043414E-3</v>
      </c>
      <c r="H43" s="418" t="s">
        <v>512</v>
      </c>
      <c r="I43" s="420">
        <v>0</v>
      </c>
      <c r="J43" s="242" t="s">
        <v>548</v>
      </c>
      <c r="K43" s="416" t="s">
        <v>1302</v>
      </c>
      <c r="L43" s="416" t="s">
        <v>119</v>
      </c>
    </row>
    <row r="44" spans="1:12" ht="22.8" x14ac:dyDescent="0.25">
      <c r="A44" s="232" t="s">
        <v>492</v>
      </c>
      <c r="B44" s="412"/>
      <c r="C44" s="414" t="s">
        <v>550</v>
      </c>
      <c r="D44" s="414" t="s">
        <v>515</v>
      </c>
      <c r="E44" s="418">
        <v>19</v>
      </c>
      <c r="F44" s="410" t="s">
        <v>562</v>
      </c>
      <c r="G44" s="419">
        <v>3.3500281424688624E-2</v>
      </c>
      <c r="H44" s="418">
        <v>0</v>
      </c>
      <c r="I44" s="420">
        <v>0</v>
      </c>
      <c r="J44" s="519" t="s">
        <v>109</v>
      </c>
      <c r="K44" s="416" t="s">
        <v>109</v>
      </c>
      <c r="L44" s="416" t="s">
        <v>109</v>
      </c>
    </row>
    <row r="45" spans="1:12" ht="22.8" x14ac:dyDescent="0.25">
      <c r="A45" s="232" t="s">
        <v>490</v>
      </c>
      <c r="B45" s="130" t="s">
        <v>69</v>
      </c>
      <c r="C45" s="131" t="s">
        <v>825</v>
      </c>
      <c r="D45" s="155" t="s">
        <v>515</v>
      </c>
      <c r="E45" s="238" t="s">
        <v>551</v>
      </c>
      <c r="F45" s="135" t="s">
        <v>145</v>
      </c>
      <c r="G45" s="239">
        <f>194*12/'Average wages'!B14</f>
        <v>4.611395035567508E-2</v>
      </c>
      <c r="H45" s="238">
        <v>0</v>
      </c>
      <c r="I45" s="248" t="s">
        <v>824</v>
      </c>
      <c r="J45" s="444" t="s">
        <v>109</v>
      </c>
      <c r="K45" s="231" t="s">
        <v>109</v>
      </c>
      <c r="L45" s="230" t="s">
        <v>109</v>
      </c>
    </row>
    <row r="46" spans="1:12" ht="136.80000000000001" x14ac:dyDescent="0.25">
      <c r="A46" s="232" t="s">
        <v>491</v>
      </c>
      <c r="B46" s="412"/>
      <c r="C46" s="414" t="s">
        <v>552</v>
      </c>
      <c r="D46" s="414" t="s">
        <v>511</v>
      </c>
      <c r="E46" s="418" t="s">
        <v>551</v>
      </c>
      <c r="F46" s="410" t="s">
        <v>1267</v>
      </c>
      <c r="G46" s="419">
        <f>170*12/'Average wages'!B14</f>
        <v>4.0409131754973009E-2</v>
      </c>
      <c r="H46" s="418">
        <v>0</v>
      </c>
      <c r="I46" s="420">
        <v>0</v>
      </c>
      <c r="J46" s="519" t="s">
        <v>1295</v>
      </c>
      <c r="K46" s="416" t="s">
        <v>1303</v>
      </c>
      <c r="L46" s="416" t="s">
        <v>320</v>
      </c>
    </row>
    <row r="47" spans="1:12" ht="91.2" x14ac:dyDescent="0.25">
      <c r="A47" s="232" t="s">
        <v>492</v>
      </c>
      <c r="B47" s="412"/>
      <c r="C47" s="414" t="s">
        <v>553</v>
      </c>
      <c r="D47" s="414" t="s">
        <v>511</v>
      </c>
      <c r="E47" s="418" t="s">
        <v>551</v>
      </c>
      <c r="F47" s="410" t="s">
        <v>1268</v>
      </c>
      <c r="G47" s="249">
        <f>(100+100)*12/'Average wages'!B14</f>
        <v>4.7540155005850598E-2</v>
      </c>
      <c r="H47" s="418">
        <v>0</v>
      </c>
      <c r="I47" s="420">
        <v>0</v>
      </c>
      <c r="J47" s="519" t="s">
        <v>109</v>
      </c>
      <c r="K47" s="416" t="s">
        <v>1304</v>
      </c>
      <c r="L47" s="416" t="s">
        <v>109</v>
      </c>
    </row>
    <row r="48" spans="1:12" ht="71.25" customHeight="1" x14ac:dyDescent="0.25">
      <c r="A48" s="232"/>
      <c r="B48" s="412"/>
      <c r="C48" s="414" t="s">
        <v>829</v>
      </c>
      <c r="D48" s="414" t="s">
        <v>515</v>
      </c>
      <c r="E48" s="418" t="s">
        <v>551</v>
      </c>
      <c r="F48" s="410" t="s">
        <v>830</v>
      </c>
      <c r="G48" s="419">
        <f>7428/'Average wages'!B14</f>
        <v>0.1471367797431076</v>
      </c>
      <c r="H48" s="418">
        <v>0</v>
      </c>
      <c r="I48" s="420" t="s">
        <v>831</v>
      </c>
      <c r="J48" s="519" t="s">
        <v>109</v>
      </c>
      <c r="K48" s="29" t="s">
        <v>109</v>
      </c>
      <c r="L48" s="416" t="s">
        <v>109</v>
      </c>
    </row>
    <row r="49" spans="1:12" ht="22.8" x14ac:dyDescent="0.25">
      <c r="A49" s="232" t="s">
        <v>497</v>
      </c>
      <c r="B49" s="412"/>
      <c r="C49" s="414" t="s">
        <v>827</v>
      </c>
      <c r="D49" s="414" t="s">
        <v>515</v>
      </c>
      <c r="E49" s="418" t="s">
        <v>551</v>
      </c>
      <c r="F49" s="410" t="s">
        <v>826</v>
      </c>
      <c r="G49" s="419">
        <f>1908/'Average wages'!B14</f>
        <v>3.7794423229651222E-2</v>
      </c>
      <c r="H49" s="418">
        <v>0</v>
      </c>
      <c r="I49" s="420" t="s">
        <v>828</v>
      </c>
      <c r="J49" s="519" t="s">
        <v>109</v>
      </c>
      <c r="K49" s="29" t="s">
        <v>109</v>
      </c>
      <c r="L49" s="416" t="s">
        <v>109</v>
      </c>
    </row>
    <row r="50" spans="1:12" ht="57" x14ac:dyDescent="0.25">
      <c r="A50" s="232" t="s">
        <v>488</v>
      </c>
      <c r="B50" s="412"/>
      <c r="C50" s="414" t="s">
        <v>832</v>
      </c>
      <c r="D50" s="414" t="s">
        <v>511</v>
      </c>
      <c r="E50" s="418" t="s">
        <v>551</v>
      </c>
      <c r="F50" s="410" t="s">
        <v>554</v>
      </c>
      <c r="G50" s="419">
        <f>0.36*416/'Average wages'!B14</f>
        <v>2.9665056723650772E-3</v>
      </c>
      <c r="H50" s="418">
        <v>0</v>
      </c>
      <c r="I50" s="420" t="s">
        <v>834</v>
      </c>
      <c r="J50" s="519" t="s">
        <v>1295</v>
      </c>
      <c r="K50" s="243" t="s">
        <v>1305</v>
      </c>
      <c r="L50" s="416" t="s">
        <v>320</v>
      </c>
    </row>
    <row r="51" spans="1:12" ht="114" x14ac:dyDescent="0.25">
      <c r="A51" s="232" t="s">
        <v>489</v>
      </c>
      <c r="B51" s="136"/>
      <c r="C51" s="137" t="s">
        <v>835</v>
      </c>
      <c r="D51" s="137" t="s">
        <v>515</v>
      </c>
      <c r="E51" s="244">
        <v>17</v>
      </c>
      <c r="F51" s="82" t="s">
        <v>1269</v>
      </c>
      <c r="G51" s="245">
        <f>273*12/'Average wages'!B14</f>
        <v>6.489231158298607E-2</v>
      </c>
      <c r="H51" s="244">
        <v>0</v>
      </c>
      <c r="I51" s="251">
        <v>0</v>
      </c>
      <c r="J51" s="512" t="s">
        <v>109</v>
      </c>
      <c r="K51" s="446" t="s">
        <v>109</v>
      </c>
      <c r="L51" s="513" t="s">
        <v>109</v>
      </c>
    </row>
    <row r="52" spans="1:12" ht="45.6" x14ac:dyDescent="0.25">
      <c r="A52" s="232" t="s">
        <v>490</v>
      </c>
      <c r="B52" s="130" t="s">
        <v>499</v>
      </c>
      <c r="C52" s="131" t="s">
        <v>1251</v>
      </c>
      <c r="D52" s="131" t="s">
        <v>511</v>
      </c>
      <c r="E52" s="238" t="s">
        <v>1042</v>
      </c>
      <c r="F52" s="135" t="s">
        <v>145</v>
      </c>
      <c r="G52" s="256">
        <v>0.04</v>
      </c>
      <c r="H52" s="238">
        <v>0</v>
      </c>
      <c r="I52" s="229" t="s">
        <v>1286</v>
      </c>
      <c r="J52" s="520" t="s">
        <v>109</v>
      </c>
      <c r="K52" s="230" t="str">
        <f>"Withdrawn in steps down to zero at income above EUR 15,000 ("&amp;TEXT(15000/'Average wages'!B15,"0%")&amp;" of AW)"</f>
        <v>Withdrawn in steps down to zero at income above EUR 15,000 (72% of AW)</v>
      </c>
      <c r="L52" s="230" t="s">
        <v>119</v>
      </c>
    </row>
    <row r="53" spans="1:12" ht="34.200000000000003" x14ac:dyDescent="0.25">
      <c r="A53" s="232" t="s">
        <v>491</v>
      </c>
      <c r="B53" s="412"/>
      <c r="C53" s="414" t="s">
        <v>555</v>
      </c>
      <c r="D53" s="414" t="s">
        <v>511</v>
      </c>
      <c r="E53" s="418">
        <v>16</v>
      </c>
      <c r="F53" s="410" t="s">
        <v>1259</v>
      </c>
      <c r="G53" s="419">
        <v>1.4446773234192353E-2</v>
      </c>
      <c r="H53" s="418">
        <v>0</v>
      </c>
      <c r="I53" s="420">
        <v>0</v>
      </c>
      <c r="J53" s="519" t="str">
        <f>"EUR 3,000 ("&amp;TEXT(3000/'Average wages'!B15,"0%")&amp;" of AW)"</f>
        <v>EUR 3,000 (14% of AW)</v>
      </c>
      <c r="K53" s="416" t="s">
        <v>1296</v>
      </c>
      <c r="L53" s="416" t="s">
        <v>119</v>
      </c>
    </row>
    <row r="54" spans="1:12" ht="22.8" x14ac:dyDescent="0.25">
      <c r="A54" s="232" t="s">
        <v>490</v>
      </c>
      <c r="B54" s="130" t="s">
        <v>500</v>
      </c>
      <c r="C54" s="131" t="s">
        <v>556</v>
      </c>
      <c r="D54" s="131" t="s">
        <v>515</v>
      </c>
      <c r="E54" s="238" t="s">
        <v>557</v>
      </c>
      <c r="F54" s="135" t="s">
        <v>145</v>
      </c>
      <c r="G54" s="239">
        <v>3.6316040141492263E-2</v>
      </c>
      <c r="H54" s="238">
        <v>0</v>
      </c>
      <c r="I54" s="415" t="s">
        <v>1287</v>
      </c>
      <c r="J54" s="520" t="s">
        <v>109</v>
      </c>
      <c r="K54" s="230" t="s">
        <v>109</v>
      </c>
      <c r="L54" s="230" t="s">
        <v>119</v>
      </c>
    </row>
    <row r="55" spans="1:12" ht="22.8" x14ac:dyDescent="0.25">
      <c r="A55" s="232" t="s">
        <v>491</v>
      </c>
      <c r="B55" s="412"/>
      <c r="C55" s="414" t="s">
        <v>558</v>
      </c>
      <c r="D55" s="257" t="s">
        <v>578</v>
      </c>
      <c r="E55" s="418" t="s">
        <v>557</v>
      </c>
      <c r="F55" s="410" t="s">
        <v>145</v>
      </c>
      <c r="G55" s="419">
        <v>0.19845822919944994</v>
      </c>
      <c r="H55" s="418">
        <v>0</v>
      </c>
      <c r="I55" s="417" t="s">
        <v>824</v>
      </c>
      <c r="J55" s="519" t="s">
        <v>109</v>
      </c>
      <c r="K55" s="416" t="s">
        <v>109</v>
      </c>
      <c r="L55" s="416" t="s">
        <v>119</v>
      </c>
    </row>
    <row r="56" spans="1:12" ht="34.200000000000003" x14ac:dyDescent="0.25">
      <c r="A56" s="232" t="s">
        <v>488</v>
      </c>
      <c r="B56" s="412"/>
      <c r="C56" s="414" t="s">
        <v>559</v>
      </c>
      <c r="D56" s="414" t="s">
        <v>511</v>
      </c>
      <c r="E56" s="418" t="s">
        <v>557</v>
      </c>
      <c r="F56" s="410" t="s">
        <v>145</v>
      </c>
      <c r="G56" s="249">
        <v>2.9767246017616609E-3</v>
      </c>
      <c r="H56" s="418">
        <v>0</v>
      </c>
      <c r="I56" s="420">
        <v>0</v>
      </c>
      <c r="J56" s="242" t="s">
        <v>973</v>
      </c>
      <c r="K56" s="243" t="s">
        <v>1296</v>
      </c>
      <c r="L56" s="416" t="s">
        <v>119</v>
      </c>
    </row>
    <row r="57" spans="1:12" ht="45.6" x14ac:dyDescent="0.25">
      <c r="A57" s="232" t="s">
        <v>492</v>
      </c>
      <c r="B57" s="130" t="s">
        <v>72</v>
      </c>
      <c r="C57" s="131" t="s">
        <v>560</v>
      </c>
      <c r="D57" s="131" t="s">
        <v>511</v>
      </c>
      <c r="E57" s="238">
        <v>17</v>
      </c>
      <c r="F57" s="135" t="s">
        <v>145</v>
      </c>
      <c r="G57" s="239">
        <v>2.4E-2</v>
      </c>
      <c r="H57" s="238" t="s">
        <v>539</v>
      </c>
      <c r="I57" s="415" t="s">
        <v>1288</v>
      </c>
      <c r="J57" s="520" t="str">
        <f>"ISK 5,800,000 ("&amp;TEXT(5800000/'Average wages'!B17,"0%")&amp;" of AW) for couples
ISK 2,900,000 ("&amp;TEXT(2900000/'Average wages'!B17,"0%")&amp;" of AW) for lone parents"</f>
        <v>ISK 5,800,000 (62% of AW) for couples
ISK 2,900,000 (31% of AW) for lone parents</v>
      </c>
      <c r="K57" s="230" t="s">
        <v>1306</v>
      </c>
      <c r="L57" s="230" t="s">
        <v>119</v>
      </c>
    </row>
    <row r="58" spans="1:12" ht="45.6" x14ac:dyDescent="0.25">
      <c r="A58" s="232" t="s">
        <v>488</v>
      </c>
      <c r="B58" s="412"/>
      <c r="C58" s="414" t="s">
        <v>561</v>
      </c>
      <c r="D58" s="414" t="s">
        <v>511</v>
      </c>
      <c r="E58" s="418">
        <v>17</v>
      </c>
      <c r="F58" s="410" t="s">
        <v>562</v>
      </c>
      <c r="G58" s="419">
        <v>1.671507793764988E-2</v>
      </c>
      <c r="H58" s="418">
        <v>0</v>
      </c>
      <c r="I58" s="417" t="s">
        <v>1288</v>
      </c>
      <c r="J58" s="519" t="str">
        <f>"ISK 2,900,000 ("&amp;TEXT(2900000/'Average wages'!B17,"0%")&amp;" of AW) "</f>
        <v xml:space="preserve">ISK 2,900,000 (31% of AW) </v>
      </c>
      <c r="K58" s="416" t="str">
        <f>K57</f>
        <v xml:space="preserve"> 4% for 1-child families, 6% for 2 children, 8% for 3, plus 4% for each child under 7</v>
      </c>
      <c r="L58" s="416" t="s">
        <v>119</v>
      </c>
    </row>
    <row r="59" spans="1:12" x14ac:dyDescent="0.25">
      <c r="A59" s="232" t="s">
        <v>491</v>
      </c>
      <c r="B59" s="136"/>
      <c r="C59" s="137" t="s">
        <v>563</v>
      </c>
      <c r="D59" s="137" t="s">
        <v>515</v>
      </c>
      <c r="E59" s="244">
        <v>17</v>
      </c>
      <c r="F59" s="82" t="s">
        <v>623</v>
      </c>
      <c r="G59" s="245">
        <v>1.3107913669064749E-2</v>
      </c>
      <c r="H59" s="244">
        <v>0</v>
      </c>
      <c r="I59" s="407" t="s">
        <v>1289</v>
      </c>
      <c r="J59" s="512" t="s">
        <v>109</v>
      </c>
      <c r="K59" s="513" t="s">
        <v>109</v>
      </c>
      <c r="L59" s="513" t="s">
        <v>109</v>
      </c>
    </row>
    <row r="60" spans="1:12" x14ac:dyDescent="0.25">
      <c r="A60" s="232" t="s">
        <v>492</v>
      </c>
      <c r="B60" s="130" t="s">
        <v>501</v>
      </c>
      <c r="C60" s="227" t="s">
        <v>564</v>
      </c>
      <c r="D60" s="131" t="s">
        <v>515</v>
      </c>
      <c r="E60" s="238" t="s">
        <v>565</v>
      </c>
      <c r="F60" s="135" t="s">
        <v>145</v>
      </c>
      <c r="G60" s="239">
        <f>140*12/'Average wages'!B18</f>
        <v>3.5736521494728571E-2</v>
      </c>
      <c r="H60" s="238">
        <v>0</v>
      </c>
      <c r="I60" s="229">
        <v>0</v>
      </c>
      <c r="J60" s="520" t="s">
        <v>109</v>
      </c>
      <c r="K60" s="230" t="s">
        <v>109</v>
      </c>
      <c r="L60" s="241" t="s">
        <v>109</v>
      </c>
    </row>
    <row r="61" spans="1:12" ht="45.6" x14ac:dyDescent="0.25">
      <c r="A61" s="232" t="s">
        <v>497</v>
      </c>
      <c r="B61" s="412"/>
      <c r="C61" s="414" t="s">
        <v>566</v>
      </c>
      <c r="D61" s="414" t="s">
        <v>511</v>
      </c>
      <c r="E61" s="418" t="s">
        <v>928</v>
      </c>
      <c r="F61" s="410" t="str">
        <f>"Earnings must be below EUR 425 per week ("&amp;TEXT(425*52*100/'Average wages'!B18,0)&amp;"% of AW)"</f>
        <v>Earnings must be below EUR 425 per week (47% of AW)</v>
      </c>
      <c r="G61" s="419">
        <f>29.8*52/'Average wages'!B18</f>
        <v>3.2962686731090117E-2</v>
      </c>
      <c r="H61" s="418">
        <v>0</v>
      </c>
      <c r="I61" s="417">
        <v>0</v>
      </c>
      <c r="J61" s="242" t="str">
        <f>"EUR 5720 ("&amp;TEXT(5720*100/'Average wages'!B18,0)&amp;"% of AW)"</f>
        <v>EUR 5720 (12% of AW)</v>
      </c>
      <c r="K61" s="416" t="str">
        <f>"50%
Benefit fully withdrawn if earnings exceed EUR 425/week ("&amp;TEXT(425*52*100/'Average wages'!B18,0)&amp;"% of AW)"</f>
        <v>50%
Benefit fully withdrawn if earnings exceed EUR 425/week (47% of AW)</v>
      </c>
      <c r="L61" s="243" t="s">
        <v>119</v>
      </c>
    </row>
    <row r="62" spans="1:12" ht="45.6" x14ac:dyDescent="0.25">
      <c r="A62" s="232"/>
      <c r="B62" s="412"/>
      <c r="C62" s="413" t="s">
        <v>929</v>
      </c>
      <c r="D62" s="414" t="s">
        <v>511</v>
      </c>
      <c r="E62" s="418" t="s">
        <v>930</v>
      </c>
      <c r="F62" s="410" t="s">
        <v>1270</v>
      </c>
      <c r="G62" s="419">
        <f>G61</f>
        <v>3.2962686731090117E-2</v>
      </c>
      <c r="H62" s="418">
        <v>0</v>
      </c>
      <c r="I62" s="417">
        <v>0</v>
      </c>
      <c r="J62" s="242" t="str">
        <f>J61</f>
        <v>EUR 5720 (12% of AW)</v>
      </c>
      <c r="K62" s="459">
        <v>0.5</v>
      </c>
      <c r="L62" s="243" t="s">
        <v>119</v>
      </c>
    </row>
    <row r="63" spans="1:12" ht="22.8" x14ac:dyDescent="0.25">
      <c r="A63" s="626" t="s">
        <v>488</v>
      </c>
      <c r="B63" s="412"/>
      <c r="C63" s="413" t="s">
        <v>932</v>
      </c>
      <c r="D63" s="414" t="s">
        <v>532</v>
      </c>
      <c r="E63" s="418" t="s">
        <v>119</v>
      </c>
      <c r="F63" s="410" t="s">
        <v>145</v>
      </c>
      <c r="G63" s="419">
        <f>1650/'Average wages'!B18</f>
        <v>3.5098369325179846E-2</v>
      </c>
      <c r="H63" s="418">
        <v>0</v>
      </c>
      <c r="I63" s="417" t="s">
        <v>164</v>
      </c>
      <c r="J63" s="519" t="s">
        <v>109</v>
      </c>
      <c r="K63" s="416" t="s">
        <v>109</v>
      </c>
      <c r="L63" s="243" t="s">
        <v>109</v>
      </c>
    </row>
    <row r="64" spans="1:12" ht="22.8" x14ac:dyDescent="0.25">
      <c r="A64" s="626" t="s">
        <v>489</v>
      </c>
      <c r="B64" s="136"/>
      <c r="C64" s="137" t="s">
        <v>568</v>
      </c>
      <c r="D64" s="137" t="s">
        <v>1252</v>
      </c>
      <c r="E64" s="244" t="s">
        <v>119</v>
      </c>
      <c r="F64" s="82" t="s">
        <v>145</v>
      </c>
      <c r="G64" s="245">
        <f>4000*0.2/'Average wages'!B18</f>
        <v>1.7017391187965986E-2</v>
      </c>
      <c r="H64" s="244">
        <v>0</v>
      </c>
      <c r="I64" s="407" t="s">
        <v>164</v>
      </c>
      <c r="J64" s="512" t="s">
        <v>109</v>
      </c>
      <c r="K64" s="513" t="s">
        <v>109</v>
      </c>
      <c r="L64" s="247" t="s">
        <v>109</v>
      </c>
    </row>
    <row r="65" spans="1:12" ht="22.8" x14ac:dyDescent="0.25">
      <c r="A65" s="626" t="s">
        <v>490</v>
      </c>
      <c r="B65" s="130" t="s">
        <v>502</v>
      </c>
      <c r="C65" s="131" t="s">
        <v>1239</v>
      </c>
      <c r="D65" s="131" t="s">
        <v>515</v>
      </c>
      <c r="E65" s="238">
        <v>17</v>
      </c>
      <c r="F65" s="135" t="s">
        <v>145</v>
      </c>
      <c r="G65" s="256">
        <f>150*12/'Average wages'!B19</f>
        <v>1.1755876985470117E-2</v>
      </c>
      <c r="H65" s="238">
        <v>0</v>
      </c>
      <c r="I65" s="415" t="s">
        <v>1290</v>
      </c>
      <c r="J65" s="520" t="s">
        <v>109</v>
      </c>
      <c r="K65" s="230" t="s">
        <v>109</v>
      </c>
      <c r="L65" s="230" t="s">
        <v>109</v>
      </c>
    </row>
    <row r="66" spans="1:12" ht="45.6" x14ac:dyDescent="0.25">
      <c r="A66" s="626" t="s">
        <v>494</v>
      </c>
      <c r="B66" s="412"/>
      <c r="C66" s="414" t="s">
        <v>1240</v>
      </c>
      <c r="D66" s="414" t="s">
        <v>511</v>
      </c>
      <c r="E66" s="418">
        <v>17</v>
      </c>
      <c r="F66" s="410" t="s">
        <v>1271</v>
      </c>
      <c r="G66" s="249">
        <f>0.7*150*12/'Average wages'!B19</f>
        <v>8.2291138898290817E-3</v>
      </c>
      <c r="H66" s="418">
        <v>0</v>
      </c>
      <c r="I66" s="417" t="s">
        <v>1291</v>
      </c>
      <c r="J66" s="519" t="s">
        <v>109</v>
      </c>
      <c r="K66" s="416" t="s">
        <v>109</v>
      </c>
      <c r="L66" s="416" t="s">
        <v>109</v>
      </c>
    </row>
    <row r="67" spans="1:12" ht="22.8" x14ac:dyDescent="0.25">
      <c r="A67" s="232" t="s">
        <v>491</v>
      </c>
      <c r="B67" s="412"/>
      <c r="C67" s="414" t="s">
        <v>575</v>
      </c>
      <c r="D67" s="414" t="s">
        <v>532</v>
      </c>
      <c r="E67" s="418">
        <v>17</v>
      </c>
      <c r="F67" s="410" t="s">
        <v>570</v>
      </c>
      <c r="G67" s="419">
        <f>6480/'Average wages'!B19</f>
        <v>4.2321157147692419E-2</v>
      </c>
      <c r="H67" s="418" t="s">
        <v>1064</v>
      </c>
      <c r="I67" s="417">
        <v>0</v>
      </c>
      <c r="J67" s="519" t="s">
        <v>109</v>
      </c>
      <c r="K67" s="416" t="s">
        <v>109</v>
      </c>
      <c r="L67" s="416" t="s">
        <v>109</v>
      </c>
    </row>
    <row r="68" spans="1:12" ht="36" customHeight="1" x14ac:dyDescent="0.25">
      <c r="A68" s="232"/>
      <c r="B68" s="412"/>
      <c r="C68" s="414" t="s">
        <v>1065</v>
      </c>
      <c r="D68" s="414" t="s">
        <v>532</v>
      </c>
      <c r="E68" s="418">
        <v>17</v>
      </c>
      <c r="F68" s="410" t="s">
        <v>570</v>
      </c>
      <c r="G68" s="419">
        <f>2592/'Average wages'!B19</f>
        <v>1.6928462859076968E-2</v>
      </c>
      <c r="H68" s="418">
        <v>0</v>
      </c>
      <c r="I68" s="417" t="s">
        <v>977</v>
      </c>
      <c r="J68" s="519" t="s">
        <v>109</v>
      </c>
      <c r="K68" s="416" t="s">
        <v>109</v>
      </c>
      <c r="L68" s="416" t="s">
        <v>109</v>
      </c>
    </row>
    <row r="69" spans="1:12" ht="34.200000000000003" x14ac:dyDescent="0.25">
      <c r="A69" s="232" t="s">
        <v>492</v>
      </c>
      <c r="B69" s="412"/>
      <c r="C69" s="414" t="s">
        <v>571</v>
      </c>
      <c r="D69" s="414" t="s">
        <v>524</v>
      </c>
      <c r="E69" s="418">
        <v>17</v>
      </c>
      <c r="F69" s="410" t="s">
        <v>572</v>
      </c>
      <c r="G69" s="419">
        <f>2*330*12*(1+0.5+0.3)/'Average wages'!B19</f>
        <v>9.3106545724923329E-2</v>
      </c>
      <c r="H69" s="418">
        <v>0</v>
      </c>
      <c r="I69" s="420" t="s">
        <v>1064</v>
      </c>
      <c r="J69" s="519" t="s">
        <v>109</v>
      </c>
      <c r="K69" s="416" t="s">
        <v>573</v>
      </c>
      <c r="L69" s="416" t="s">
        <v>109</v>
      </c>
    </row>
    <row r="70" spans="1:12" ht="45.6" x14ac:dyDescent="0.25">
      <c r="A70" s="626" t="s">
        <v>489</v>
      </c>
      <c r="B70" s="136"/>
      <c r="C70" s="137" t="s">
        <v>1241</v>
      </c>
      <c r="D70" s="137" t="s">
        <v>511</v>
      </c>
      <c r="E70" s="244">
        <v>14</v>
      </c>
      <c r="F70" s="82" t="s">
        <v>1066</v>
      </c>
      <c r="G70" s="245">
        <f>(0.18*8648)/'Average wages'!B19</f>
        <v>1.0166482417034555E-2</v>
      </c>
      <c r="H70" s="244" t="s">
        <v>1064</v>
      </c>
      <c r="I70" s="251">
        <v>0</v>
      </c>
      <c r="J70" s="512" t="s">
        <v>109</v>
      </c>
      <c r="K70" s="513" t="s">
        <v>109</v>
      </c>
      <c r="L70" s="513" t="s">
        <v>109</v>
      </c>
    </row>
    <row r="71" spans="1:12" ht="68.400000000000006" x14ac:dyDescent="0.25">
      <c r="A71" s="626" t="s">
        <v>490</v>
      </c>
      <c r="B71" s="130" t="s">
        <v>75</v>
      </c>
      <c r="C71" s="131" t="s">
        <v>1049</v>
      </c>
      <c r="D71" s="131" t="s">
        <v>511</v>
      </c>
      <c r="E71" s="238" t="s">
        <v>574</v>
      </c>
      <c r="F71" s="135" t="s">
        <v>1052</v>
      </c>
      <c r="G71" s="239">
        <f>137.5*12/'Average wages'!B20</f>
        <v>5.2980204560293585E-2</v>
      </c>
      <c r="H71" s="238">
        <v>0</v>
      </c>
      <c r="I71" s="229" t="s">
        <v>512</v>
      </c>
      <c r="J71" s="520" t="s">
        <v>548</v>
      </c>
      <c r="K71" s="230" t="s">
        <v>1307</v>
      </c>
      <c r="L71" s="230" t="s">
        <v>145</v>
      </c>
    </row>
    <row r="72" spans="1:12" ht="45.6" x14ac:dyDescent="0.25">
      <c r="A72" s="626" t="s">
        <v>494</v>
      </c>
      <c r="B72" s="412"/>
      <c r="C72" s="414" t="s">
        <v>1050</v>
      </c>
      <c r="D72" s="414" t="s">
        <v>511</v>
      </c>
      <c r="E72" s="418" t="s">
        <v>574</v>
      </c>
      <c r="F72" s="410" t="s">
        <v>1258</v>
      </c>
      <c r="G72" s="222">
        <f>1836.9/'Average wages'!B20</f>
        <v>5.8981416822305024E-2</v>
      </c>
      <c r="H72" s="418">
        <v>0</v>
      </c>
      <c r="I72" s="420" t="s">
        <v>977</v>
      </c>
      <c r="J72" s="519" t="str">
        <f>"Varies by family size: ISEE indicator (equivalised income measure) must be less than EUR 8,555 ("&amp;TEXT(8555/'Average wages'!B20,"0%")&amp;" of AW)"</f>
        <v>Varies by family size: ISEE indicator (equivalised income measure) must be less than EUR 8,555 (27% of AW)</v>
      </c>
      <c r="K72" s="416" t="s">
        <v>1296</v>
      </c>
      <c r="L72" s="416" t="s">
        <v>320</v>
      </c>
    </row>
    <row r="73" spans="1:12" ht="57" x14ac:dyDescent="0.25">
      <c r="A73" s="626"/>
      <c r="B73" s="412"/>
      <c r="C73" s="414" t="s">
        <v>1051</v>
      </c>
      <c r="D73" s="414" t="s">
        <v>511</v>
      </c>
      <c r="E73" s="418">
        <v>3</v>
      </c>
      <c r="F73" s="410" t="s">
        <v>145</v>
      </c>
      <c r="G73" s="419">
        <f>80*12/'Average wages'!B20</f>
        <v>3.0824846289625358E-2</v>
      </c>
      <c r="H73" s="418">
        <v>0</v>
      </c>
      <c r="I73" s="420">
        <v>0</v>
      </c>
      <c r="J73" s="519" t="str">
        <f>"To receive maximum amount, ISEE indicator (equivalised income measure) must be less than EUR 7,000 ("&amp;TEXT(7000/'Average wages'!B20,"0%")&amp;" of AW)"</f>
        <v>To receive maximum amount, ISEE indicator (equivalised income measure) must be less than EUR 7,000 (22% of AW)</v>
      </c>
      <c r="K73" s="416" t="str">
        <f>"Benefit withdrawn in two steps, fully withdrawn when ISEE indicator exceeds EUR 25,000 ("&amp;TEXT(25000/'Average wages'!B20,"0%")&amp;" of AW)"</f>
        <v>Benefit withdrawn in two steps, fully withdrawn when ISEE indicator exceeds EUR 25,000 (80% of AW)</v>
      </c>
      <c r="L73" s="416" t="s">
        <v>320</v>
      </c>
    </row>
    <row r="74" spans="1:12" ht="34.200000000000003" x14ac:dyDescent="0.25">
      <c r="A74" s="232" t="s">
        <v>488</v>
      </c>
      <c r="B74" s="412"/>
      <c r="C74" s="414" t="s">
        <v>575</v>
      </c>
      <c r="D74" s="414" t="s">
        <v>567</v>
      </c>
      <c r="E74" s="418" t="s">
        <v>574</v>
      </c>
      <c r="F74" s="410" t="s">
        <v>145</v>
      </c>
      <c r="G74" s="419">
        <f>950/'Average wages'!B20</f>
        <v>3.0503754140775094E-2</v>
      </c>
      <c r="H74" s="418" t="s">
        <v>539</v>
      </c>
      <c r="I74" s="420">
        <v>0</v>
      </c>
      <c r="J74" s="519" t="s">
        <v>145</v>
      </c>
      <c r="K74" s="416" t="s">
        <v>548</v>
      </c>
      <c r="L74" s="416" t="s">
        <v>145</v>
      </c>
    </row>
    <row r="75" spans="1:12" ht="34.200000000000003" x14ac:dyDescent="0.25">
      <c r="A75" s="232" t="s">
        <v>489</v>
      </c>
      <c r="B75" s="136"/>
      <c r="C75" s="137" t="s">
        <v>576</v>
      </c>
      <c r="D75" s="137" t="s">
        <v>567</v>
      </c>
      <c r="E75" s="244" t="s">
        <v>574</v>
      </c>
      <c r="F75" s="82" t="s">
        <v>1272</v>
      </c>
      <c r="G75" s="245">
        <f>1200/'Average wages'!B20</f>
        <v>3.8531057862031697E-2</v>
      </c>
      <c r="H75" s="244">
        <v>0</v>
      </c>
      <c r="I75" s="251" t="s">
        <v>977</v>
      </c>
      <c r="J75" s="512" t="s">
        <v>145</v>
      </c>
      <c r="K75" s="513" t="s">
        <v>548</v>
      </c>
      <c r="L75" s="513" t="s">
        <v>145</v>
      </c>
    </row>
    <row r="76" spans="1:12" ht="34.200000000000003" x14ac:dyDescent="0.25">
      <c r="A76" s="232" t="s">
        <v>491</v>
      </c>
      <c r="B76" s="130" t="s">
        <v>76</v>
      </c>
      <c r="C76" s="131" t="s">
        <v>537</v>
      </c>
      <c r="D76" s="131" t="s">
        <v>511</v>
      </c>
      <c r="E76" s="238">
        <v>15</v>
      </c>
      <c r="F76" s="135" t="s">
        <v>145</v>
      </c>
      <c r="G76" s="239">
        <f>10000*12/'Average wages'!B21</f>
        <v>2.2871495739301778E-2</v>
      </c>
      <c r="H76" s="238" t="s">
        <v>539</v>
      </c>
      <c r="I76" s="229" t="s">
        <v>940</v>
      </c>
      <c r="J76" s="240" t="str">
        <f>"JPY 9.6 million ("&amp;TEXT(9600000*100/'Average wages'!B21,0)&amp;"% of AW)"</f>
        <v>JPY 9.6 million (183% of AW)</v>
      </c>
      <c r="K76" s="241" t="s">
        <v>941</v>
      </c>
      <c r="L76" s="230" t="s">
        <v>119</v>
      </c>
    </row>
    <row r="77" spans="1:12" ht="148.19999999999999" x14ac:dyDescent="0.25">
      <c r="A77" s="626" t="s">
        <v>489</v>
      </c>
      <c r="B77" s="136"/>
      <c r="C77" s="137" t="s">
        <v>939</v>
      </c>
      <c r="D77" s="137" t="s">
        <v>511</v>
      </c>
      <c r="E77" s="244">
        <v>18</v>
      </c>
      <c r="F77" s="82" t="s">
        <v>145</v>
      </c>
      <c r="G77" s="245">
        <f>42290*12/'Average wages'!B21</f>
        <v>9.6723555481507226E-2</v>
      </c>
      <c r="H77" s="244">
        <v>0</v>
      </c>
      <c r="I77" s="251" t="s">
        <v>539</v>
      </c>
      <c r="J77" s="246" t="str">
        <f>"Varies by family size: JPY 570000 ("&amp;TEXT(570000*100/'Average wages'!B21,0)&amp;"% of AW)  for one dependent, increases with number of children"</f>
        <v>Varies by family size: JPY 570000 (11% of AW)  for one dependent, increases with number of children</v>
      </c>
      <c r="K77" s="247" t="s">
        <v>1308</v>
      </c>
      <c r="L77" s="513" t="s">
        <v>119</v>
      </c>
    </row>
    <row r="78" spans="1:12" ht="57" x14ac:dyDescent="0.25">
      <c r="A78" s="232" t="s">
        <v>492</v>
      </c>
      <c r="B78" s="412" t="s">
        <v>77</v>
      </c>
      <c r="C78" s="414" t="s">
        <v>1242</v>
      </c>
      <c r="D78" s="414" t="s">
        <v>524</v>
      </c>
      <c r="E78" s="418">
        <v>20</v>
      </c>
      <c r="F78" s="410" t="s">
        <v>607</v>
      </c>
      <c r="G78" s="419">
        <v>1.6E-2</v>
      </c>
      <c r="H78" s="418">
        <v>0</v>
      </c>
      <c r="I78" s="417">
        <v>0</v>
      </c>
      <c r="J78" s="519" t="s">
        <v>952</v>
      </c>
      <c r="K78" s="416" t="str">
        <f>"1%
Benefit fully withdrawn if gross earnings above KRW 40 million ("&amp;TEXT(40000000/'Average wages'!B22,"0%")&amp;" of AW)"</f>
        <v>1%
Benefit fully withdrawn if gross earnings above KRW 40 million (84% of AW)</v>
      </c>
      <c r="L78" s="416" t="s">
        <v>119</v>
      </c>
    </row>
    <row r="79" spans="1:12" ht="57" x14ac:dyDescent="0.25">
      <c r="A79" s="232" t="s">
        <v>489</v>
      </c>
      <c r="B79" s="136"/>
      <c r="C79" s="137" t="s">
        <v>579</v>
      </c>
      <c r="D79" s="137" t="s">
        <v>511</v>
      </c>
      <c r="E79" s="244" t="s">
        <v>951</v>
      </c>
      <c r="F79" s="82" t="s">
        <v>145</v>
      </c>
      <c r="G79" s="245">
        <v>4.3999999999999997E-2</v>
      </c>
      <c r="H79" s="244">
        <v>0</v>
      </c>
      <c r="I79" s="251">
        <v>0</v>
      </c>
      <c r="J79" s="512" t="str">
        <f>"Varies by family size, for lone parent with one childn KRW 17 million ("&amp;TEXT(17000000/'Average wages'!B22,"0%")&amp;" of AW)"</f>
        <v>Varies by family size, for lone parent with one childn KRW 17 million (36% of AW)</v>
      </c>
      <c r="K79" s="513" t="s">
        <v>1309</v>
      </c>
      <c r="L79" s="513" t="s">
        <v>119</v>
      </c>
    </row>
    <row r="80" spans="1:12" x14ac:dyDescent="0.25">
      <c r="A80" s="232" t="s">
        <v>489</v>
      </c>
      <c r="B80" s="226" t="s">
        <v>94</v>
      </c>
      <c r="C80" s="131" t="s">
        <v>616</v>
      </c>
      <c r="D80" s="131" t="s">
        <v>515</v>
      </c>
      <c r="E80" s="238" t="s">
        <v>600</v>
      </c>
      <c r="F80" s="135" t="s">
        <v>145</v>
      </c>
      <c r="G80" s="239">
        <v>1.2E-2</v>
      </c>
      <c r="H80" s="238">
        <v>0</v>
      </c>
      <c r="I80" s="415" t="s">
        <v>512</v>
      </c>
      <c r="J80" s="520" t="s">
        <v>109</v>
      </c>
      <c r="K80" s="230" t="s">
        <v>109</v>
      </c>
      <c r="L80" s="230" t="s">
        <v>109</v>
      </c>
    </row>
    <row r="81" spans="1:12" ht="22.8" x14ac:dyDescent="0.25">
      <c r="A81" s="232" t="s">
        <v>491</v>
      </c>
      <c r="B81" s="284"/>
      <c r="C81" s="137" t="s">
        <v>785</v>
      </c>
      <c r="D81" s="137" t="s">
        <v>515</v>
      </c>
      <c r="E81" s="244" t="s">
        <v>574</v>
      </c>
      <c r="F81" s="82" t="s">
        <v>145</v>
      </c>
      <c r="G81" s="245">
        <v>0.122</v>
      </c>
      <c r="H81" s="244" t="s">
        <v>512</v>
      </c>
      <c r="I81" s="251">
        <v>0</v>
      </c>
      <c r="J81" s="512" t="s">
        <v>109</v>
      </c>
      <c r="K81" s="513" t="s">
        <v>109</v>
      </c>
      <c r="L81" s="513" t="s">
        <v>109</v>
      </c>
    </row>
    <row r="82" spans="1:12" ht="57" x14ac:dyDescent="0.25">
      <c r="A82" s="232" t="s">
        <v>489</v>
      </c>
      <c r="B82" s="283" t="s">
        <v>95</v>
      </c>
      <c r="C82" s="155" t="s">
        <v>1243</v>
      </c>
      <c r="D82" s="155" t="s">
        <v>1297</v>
      </c>
      <c r="E82" s="266" t="s">
        <v>895</v>
      </c>
      <c r="F82" s="150" t="s">
        <v>145</v>
      </c>
      <c r="G82" s="267">
        <v>0.05</v>
      </c>
      <c r="H82" s="266" t="s">
        <v>539</v>
      </c>
      <c r="I82" s="268">
        <v>0</v>
      </c>
      <c r="J82" s="240" t="str">
        <f>"For one- and two-child families, supplement paid if net income per family member below EUR 2,196 ("&amp;TEXT(2196/'Average wages'!B42,"0%")&amp;" of AW)"</f>
        <v>For one- and two-child families, supplement paid if net income per family member below EUR 2,196 (20% of AW)</v>
      </c>
      <c r="K82" s="241" t="s">
        <v>1298</v>
      </c>
      <c r="L82" s="241" t="s">
        <v>145</v>
      </c>
    </row>
    <row r="83" spans="1:12" ht="34.200000000000003" x14ac:dyDescent="0.25">
      <c r="A83" s="232" t="s">
        <v>488</v>
      </c>
      <c r="B83" s="288"/>
      <c r="C83" s="250" t="s">
        <v>896</v>
      </c>
      <c r="D83" s="250" t="s">
        <v>515</v>
      </c>
      <c r="E83" s="261">
        <v>17</v>
      </c>
      <c r="F83" s="151" t="s">
        <v>617</v>
      </c>
      <c r="G83" s="262">
        <v>7.4999999999999997E-2</v>
      </c>
      <c r="H83" s="261">
        <v>0</v>
      </c>
      <c r="I83" s="281">
        <v>0</v>
      </c>
      <c r="J83" s="282" t="s">
        <v>109</v>
      </c>
      <c r="K83" s="281" t="s">
        <v>618</v>
      </c>
      <c r="L83" s="281" t="s">
        <v>109</v>
      </c>
    </row>
    <row r="84" spans="1:12" ht="22.8" x14ac:dyDescent="0.25">
      <c r="A84" s="232" t="s">
        <v>490</v>
      </c>
      <c r="B84" s="130" t="s">
        <v>78</v>
      </c>
      <c r="C84" s="131" t="s">
        <v>947</v>
      </c>
      <c r="D84" s="131" t="s">
        <v>515</v>
      </c>
      <c r="E84" s="238" t="s">
        <v>520</v>
      </c>
      <c r="F84" s="135" t="s">
        <v>145</v>
      </c>
      <c r="G84" s="239">
        <v>5.7238592061704792E-2</v>
      </c>
      <c r="H84" s="238" t="s">
        <v>512</v>
      </c>
      <c r="I84" s="229">
        <v>0</v>
      </c>
      <c r="J84" s="520" t="s">
        <v>109</v>
      </c>
      <c r="K84" s="230" t="s">
        <v>109</v>
      </c>
      <c r="L84" s="230" t="s">
        <v>119</v>
      </c>
    </row>
    <row r="85" spans="1:12" ht="22.8" x14ac:dyDescent="0.25">
      <c r="A85" s="232" t="s">
        <v>491</v>
      </c>
      <c r="B85" s="412"/>
      <c r="C85" s="414" t="s">
        <v>580</v>
      </c>
      <c r="D85" s="414" t="s">
        <v>515</v>
      </c>
      <c r="E85" s="418" t="s">
        <v>520</v>
      </c>
      <c r="F85" s="410" t="s">
        <v>145</v>
      </c>
      <c r="G85" s="249">
        <v>1.9246894991508921E-3</v>
      </c>
      <c r="H85" s="418" t="s">
        <v>512</v>
      </c>
      <c r="I85" s="420">
        <v>0</v>
      </c>
      <c r="J85" s="519" t="s">
        <v>109</v>
      </c>
      <c r="K85" s="416" t="s">
        <v>109</v>
      </c>
      <c r="L85" s="416" t="s">
        <v>119</v>
      </c>
    </row>
    <row r="86" spans="1:12" ht="22.8" x14ac:dyDescent="0.25">
      <c r="A86" s="232" t="s">
        <v>488</v>
      </c>
      <c r="B86" s="412"/>
      <c r="C86" s="414" t="s">
        <v>946</v>
      </c>
      <c r="D86" s="414" t="s">
        <v>532</v>
      </c>
      <c r="E86" s="418" t="s">
        <v>520</v>
      </c>
      <c r="F86" s="410" t="s">
        <v>562</v>
      </c>
      <c r="G86" s="419">
        <v>3.1380807051373243E-2</v>
      </c>
      <c r="H86" s="418" t="s">
        <v>512</v>
      </c>
      <c r="I86" s="420" t="s">
        <v>539</v>
      </c>
      <c r="J86" s="519" t="s">
        <v>109</v>
      </c>
      <c r="K86" s="416" t="s">
        <v>109</v>
      </c>
      <c r="L86" s="416" t="s">
        <v>119</v>
      </c>
    </row>
    <row r="87" spans="1:12" ht="22.8" x14ac:dyDescent="0.25">
      <c r="A87" s="232" t="s">
        <v>489</v>
      </c>
      <c r="B87" s="50"/>
      <c r="C87" s="414" t="s">
        <v>568</v>
      </c>
      <c r="D87" s="414" t="s">
        <v>581</v>
      </c>
      <c r="E87" s="418" t="s">
        <v>520</v>
      </c>
      <c r="F87" s="410" t="s">
        <v>562</v>
      </c>
      <c r="G87" s="419" t="s">
        <v>109</v>
      </c>
      <c r="H87" s="418">
        <v>0</v>
      </c>
      <c r="I87" s="417" t="s">
        <v>164</v>
      </c>
      <c r="J87" s="519" t="s">
        <v>109</v>
      </c>
      <c r="K87" s="416" t="s">
        <v>109</v>
      </c>
      <c r="L87" s="416" t="s">
        <v>119</v>
      </c>
    </row>
    <row r="88" spans="1:12" ht="22.8" x14ac:dyDescent="0.25">
      <c r="A88" s="232" t="s">
        <v>491</v>
      </c>
      <c r="B88" s="130" t="s">
        <v>79</v>
      </c>
      <c r="C88" s="155" t="s">
        <v>1244</v>
      </c>
      <c r="D88" s="131" t="s">
        <v>515</v>
      </c>
      <c r="E88" s="238">
        <v>17</v>
      </c>
      <c r="F88" s="135" t="s">
        <v>145</v>
      </c>
      <c r="G88" s="239">
        <f>287.21*4/'Average wages'!B25</f>
        <v>2.1994600483092871E-2</v>
      </c>
      <c r="H88" s="238" t="s">
        <v>512</v>
      </c>
      <c r="I88" s="229">
        <v>0</v>
      </c>
      <c r="J88" s="520" t="s">
        <v>109</v>
      </c>
      <c r="K88" s="230" t="s">
        <v>109</v>
      </c>
      <c r="L88" s="230" t="s">
        <v>109</v>
      </c>
    </row>
    <row r="89" spans="1:12" ht="22.8" x14ac:dyDescent="0.25">
      <c r="A89" s="232" t="s">
        <v>492</v>
      </c>
      <c r="B89" s="412"/>
      <c r="C89" s="414" t="s">
        <v>1245</v>
      </c>
      <c r="D89" s="414" t="s">
        <v>511</v>
      </c>
      <c r="E89" s="418">
        <v>17</v>
      </c>
      <c r="F89" s="410" t="s">
        <v>1273</v>
      </c>
      <c r="G89" s="419">
        <f>96*12/'Average wages'!B25</f>
        <v>2.2055098844506623E-2</v>
      </c>
      <c r="H89" s="418">
        <v>0</v>
      </c>
      <c r="I89" s="417" t="s">
        <v>539</v>
      </c>
      <c r="J89" s="242" t="str">
        <f>"EUR 20,451 ("&amp;TEXT(100*20451/'Average wages'!B25,0)&amp;"% of AW)"</f>
        <v>EUR 20,451 (39% of AW)</v>
      </c>
      <c r="K89" s="259">
        <v>6.7500000000000004E-2</v>
      </c>
      <c r="L89" s="416" t="s">
        <v>320</v>
      </c>
    </row>
    <row r="90" spans="1:12" ht="35.4" customHeight="1" x14ac:dyDescent="0.25">
      <c r="A90" s="232" t="s">
        <v>492</v>
      </c>
      <c r="B90" s="412"/>
      <c r="C90" s="414" t="s">
        <v>1246</v>
      </c>
      <c r="D90" s="414" t="s">
        <v>511</v>
      </c>
      <c r="E90" s="418" t="s">
        <v>999</v>
      </c>
      <c r="F90" s="410" t="s">
        <v>1273</v>
      </c>
      <c r="G90" s="419">
        <f>19.66*12/'Average wages'!B25</f>
        <v>4.5167004508645863E-3</v>
      </c>
      <c r="H90" s="418">
        <v>0</v>
      </c>
      <c r="I90" s="417" t="s">
        <v>539</v>
      </c>
      <c r="J90" s="242" t="str">
        <f>J89</f>
        <v>EUR 20,451 (39% of AW)</v>
      </c>
      <c r="K90" s="259">
        <v>6.7500000000000004E-2</v>
      </c>
      <c r="L90" s="416" t="s">
        <v>320</v>
      </c>
    </row>
    <row r="91" spans="1:12" ht="34.200000000000003" x14ac:dyDescent="0.25">
      <c r="A91" s="232" t="s">
        <v>492</v>
      </c>
      <c r="B91" s="412"/>
      <c r="C91" s="414" t="s">
        <v>1247</v>
      </c>
      <c r="D91" s="414" t="s">
        <v>511</v>
      </c>
      <c r="E91" s="418">
        <v>17</v>
      </c>
      <c r="F91" s="410" t="s">
        <v>1274</v>
      </c>
      <c r="G91" s="419">
        <f>3101/'Average wages'!B25</f>
        <v>5.9368803400013055E-2</v>
      </c>
      <c r="H91" s="418">
        <v>0</v>
      </c>
      <c r="I91" s="417" t="s">
        <v>539</v>
      </c>
      <c r="J91" s="242" t="str">
        <f>J89</f>
        <v>EUR 20,451 (39% of AW)</v>
      </c>
      <c r="K91" s="259">
        <v>6.7500000000000004E-2</v>
      </c>
      <c r="L91" s="416" t="s">
        <v>320</v>
      </c>
    </row>
    <row r="92" spans="1:12" ht="22.8" x14ac:dyDescent="0.25">
      <c r="A92" s="232" t="s">
        <v>488</v>
      </c>
      <c r="B92" s="412"/>
      <c r="C92" s="414" t="s">
        <v>1001</v>
      </c>
      <c r="D92" s="257" t="s">
        <v>532</v>
      </c>
      <c r="E92" s="260">
        <v>11</v>
      </c>
      <c r="F92" s="74" t="str">
        <f>"Employed with taxable income above EUR 4934  ("&amp;TEXT(100*4934/'Average wages'!B25,0)&amp;"% of AW)"</f>
        <v>Employed with taxable income above EUR 4934  (9% of AW)</v>
      </c>
      <c r="G92" s="507">
        <f>2801/'Average wages'!B25</f>
        <v>5.3625288075922789E-2</v>
      </c>
      <c r="H92" s="260">
        <v>0</v>
      </c>
      <c r="I92" s="254" t="s">
        <v>164</v>
      </c>
      <c r="J92" s="242" t="s">
        <v>109</v>
      </c>
      <c r="K92" s="243" t="s">
        <v>109</v>
      </c>
      <c r="L92" s="416" t="s">
        <v>109</v>
      </c>
    </row>
    <row r="93" spans="1:12" ht="34.200000000000003" x14ac:dyDescent="0.25">
      <c r="A93" s="232" t="s">
        <v>490</v>
      </c>
      <c r="B93" s="143" t="s">
        <v>503</v>
      </c>
      <c r="C93" s="227" t="s">
        <v>582</v>
      </c>
      <c r="D93" s="131" t="s">
        <v>524</v>
      </c>
      <c r="E93" s="238">
        <v>18</v>
      </c>
      <c r="F93" s="135" t="s">
        <v>145</v>
      </c>
      <c r="G93" s="239">
        <v>7.3999999999999996E-2</v>
      </c>
      <c r="H93" s="238" t="s">
        <v>512</v>
      </c>
      <c r="I93" s="415" t="s">
        <v>539</v>
      </c>
      <c r="J93" s="520" t="str">
        <f>"NZD 36,350 ("&amp;TEXT(36350/'Average wages'!B26,"0%")&amp;" of AW)"</f>
        <v>NZD 36,350 (61% of AW)</v>
      </c>
      <c r="K93" s="500">
        <v>0.22500000000000001</v>
      </c>
      <c r="L93" s="230" t="s">
        <v>119</v>
      </c>
    </row>
    <row r="94" spans="1:12" ht="34.200000000000003" x14ac:dyDescent="0.25">
      <c r="A94" s="232" t="s">
        <v>491</v>
      </c>
      <c r="B94" s="264"/>
      <c r="C94" s="413" t="s">
        <v>583</v>
      </c>
      <c r="D94" s="414" t="s">
        <v>1253</v>
      </c>
      <c r="E94" s="418">
        <v>18</v>
      </c>
      <c r="F94" s="410" t="s">
        <v>584</v>
      </c>
      <c r="G94" s="419">
        <v>0.436</v>
      </c>
      <c r="H94" s="418">
        <v>0</v>
      </c>
      <c r="I94" s="417" t="s">
        <v>164</v>
      </c>
      <c r="J94" s="519" t="s">
        <v>145</v>
      </c>
      <c r="K94" s="416">
        <v>1</v>
      </c>
      <c r="L94" s="416" t="s">
        <v>119</v>
      </c>
    </row>
    <row r="95" spans="1:12" ht="45.6" x14ac:dyDescent="0.25">
      <c r="A95" s="232" t="s">
        <v>488</v>
      </c>
      <c r="B95" s="264"/>
      <c r="C95" s="413" t="s">
        <v>585</v>
      </c>
      <c r="D95" s="414" t="s">
        <v>567</v>
      </c>
      <c r="E95" s="418">
        <v>18</v>
      </c>
      <c r="F95" s="410" t="s">
        <v>584</v>
      </c>
      <c r="G95" s="419">
        <v>6.3E-2</v>
      </c>
      <c r="H95" s="418">
        <v>0</v>
      </c>
      <c r="I95" s="417" t="s">
        <v>164</v>
      </c>
      <c r="J95" s="519" t="s">
        <v>586</v>
      </c>
      <c r="K95" s="501">
        <v>0.22500000000000001</v>
      </c>
      <c r="L95" s="416" t="s">
        <v>119</v>
      </c>
    </row>
    <row r="96" spans="1:12" ht="45.6" x14ac:dyDescent="0.25">
      <c r="A96" s="232" t="s">
        <v>491</v>
      </c>
      <c r="B96" s="264"/>
      <c r="C96" s="413" t="s">
        <v>976</v>
      </c>
      <c r="D96" s="414" t="s">
        <v>511</v>
      </c>
      <c r="E96" s="418">
        <v>18</v>
      </c>
      <c r="F96" s="410" t="s">
        <v>1275</v>
      </c>
      <c r="G96" s="419">
        <v>0.113</v>
      </c>
      <c r="H96" s="418">
        <v>0</v>
      </c>
      <c r="I96" s="420" t="s">
        <v>977</v>
      </c>
      <c r="J96" s="519" t="str">
        <f>"NZL100/week ("&amp;TEXT(100*52/'Average wages'!B26,"0%")&amp;" of AW)"</f>
        <v>NZL100/week (9% of AW)</v>
      </c>
      <c r="K96" s="416" t="str">
        <f>"30% between up to NZD 200 per week ("&amp;TEXT(200*52/'Average wages'!B26,"0%")&amp;" of AW)
70% thereafter"</f>
        <v>30% between up to NZD 200 per week (17% of AW)
70% thereafter</v>
      </c>
      <c r="L96" s="416" t="s">
        <v>119</v>
      </c>
    </row>
    <row r="97" spans="1:12" x14ac:dyDescent="0.25">
      <c r="A97" s="232" t="s">
        <v>492</v>
      </c>
      <c r="B97" s="130" t="s">
        <v>80</v>
      </c>
      <c r="C97" s="131" t="s">
        <v>1007</v>
      </c>
      <c r="D97" s="131" t="s">
        <v>515</v>
      </c>
      <c r="E97" s="238">
        <v>17</v>
      </c>
      <c r="F97" s="135" t="s">
        <v>145</v>
      </c>
      <c r="G97" s="239">
        <f>11640/'Average wages'!B27</f>
        <v>1.9462776523982029E-2</v>
      </c>
      <c r="H97" s="238">
        <v>0</v>
      </c>
      <c r="I97" s="229">
        <v>0</v>
      </c>
      <c r="J97" s="520" t="s">
        <v>109</v>
      </c>
      <c r="K97" s="230" t="s">
        <v>109</v>
      </c>
      <c r="L97" s="230" t="s">
        <v>119</v>
      </c>
    </row>
    <row r="98" spans="1:12" ht="22.8" x14ac:dyDescent="0.25">
      <c r="A98" s="232" t="s">
        <v>497</v>
      </c>
      <c r="B98" s="412"/>
      <c r="C98" s="414" t="s">
        <v>1010</v>
      </c>
      <c r="D98" s="414" t="s">
        <v>515</v>
      </c>
      <c r="E98" s="418">
        <v>17</v>
      </c>
      <c r="F98" s="410" t="s">
        <v>562</v>
      </c>
      <c r="G98" s="419">
        <f>11640/'Average wages'!B27</f>
        <v>1.9462776523982029E-2</v>
      </c>
      <c r="H98" s="418">
        <v>0</v>
      </c>
      <c r="I98" s="420">
        <v>0</v>
      </c>
      <c r="J98" s="519" t="s">
        <v>109</v>
      </c>
      <c r="K98" s="416" t="s">
        <v>109</v>
      </c>
      <c r="L98" s="416" t="s">
        <v>119</v>
      </c>
    </row>
    <row r="99" spans="1:12" ht="34.200000000000003" x14ac:dyDescent="0.25">
      <c r="A99" s="232" t="s">
        <v>498</v>
      </c>
      <c r="B99" s="412"/>
      <c r="C99" s="414" t="s">
        <v>1009</v>
      </c>
      <c r="D99" s="414" t="s">
        <v>511</v>
      </c>
      <c r="E99" s="418">
        <v>2</v>
      </c>
      <c r="F99" s="410" t="s">
        <v>1008</v>
      </c>
      <c r="G99" s="419">
        <f>7920/'Average wages'!B27</f>
        <v>1.3242713923534164E-2</v>
      </c>
      <c r="H99" s="418">
        <v>0</v>
      </c>
      <c r="I99" s="417" t="s">
        <v>164</v>
      </c>
      <c r="J99" s="519" t="str">
        <f>"NOK 48,441.5 ("&amp;TEXT(100*48441.5/'Average wages'!B27,0)&amp;"% of AW; the threshold for Transitional benefit for lone parents)"</f>
        <v>NOK 48,441.5 (8% of AW; the threshold for Transitional benefit for lone parents)</v>
      </c>
      <c r="K99" s="416" t="s">
        <v>1296</v>
      </c>
      <c r="L99" s="416" t="s">
        <v>119</v>
      </c>
    </row>
    <row r="100" spans="1:12" ht="22.8" x14ac:dyDescent="0.25">
      <c r="A100" s="530" t="s">
        <v>504</v>
      </c>
      <c r="B100" s="412"/>
      <c r="C100" s="414" t="s">
        <v>1011</v>
      </c>
      <c r="D100" s="414" t="s">
        <v>511</v>
      </c>
      <c r="E100" s="418">
        <v>7</v>
      </c>
      <c r="F100" s="410" t="s">
        <v>1277</v>
      </c>
      <c r="G100" s="222">
        <f>217987/'Average wages'!B27</f>
        <v>0.36448730808705071</v>
      </c>
      <c r="H100" s="418">
        <v>0</v>
      </c>
      <c r="I100" s="417" t="s">
        <v>164</v>
      </c>
      <c r="J100" s="519" t="str">
        <f>"NOK 48,441.5 ("&amp;TEXT(100*48441.5/'Average wages'!B27,0)&amp;"% of AW)"</f>
        <v>NOK 48,441.5 (8% of AW)</v>
      </c>
      <c r="K100" s="416">
        <v>0.45</v>
      </c>
      <c r="L100" s="416" t="s">
        <v>119</v>
      </c>
    </row>
    <row r="101" spans="1:12" ht="45.6" x14ac:dyDescent="0.25">
      <c r="A101" s="626" t="s">
        <v>488</v>
      </c>
      <c r="B101" s="412"/>
      <c r="C101" s="414" t="s">
        <v>1012</v>
      </c>
      <c r="D101" s="414" t="s">
        <v>511</v>
      </c>
      <c r="E101" s="418">
        <v>17</v>
      </c>
      <c r="F101" s="410" t="s">
        <v>1276</v>
      </c>
      <c r="G101" s="419">
        <f>1570*12/'Average wages'!B27</f>
        <v>3.1501607363558538E-2</v>
      </c>
      <c r="H101" s="418">
        <v>0</v>
      </c>
      <c r="I101" s="420" t="s">
        <v>1013</v>
      </c>
      <c r="J101" s="519" t="str">
        <f>"NOK 271,000 ("&amp;TEXT(100*271000/'Average wages'!B27,0)&amp;"% of AW)"</f>
        <v>NOK 271,000 (45% of AW)</v>
      </c>
      <c r="K101" s="416" t="str">
        <f>"Withdrawn in three steps, fully withdrawn at NOK 502,400 ("&amp;TEXT(100*502400/'Average wages'!B27,0)&amp;"% of AW)"</f>
        <v>Withdrawn in three steps, fully withdrawn at NOK 502,400 (84% of AW)</v>
      </c>
      <c r="L101" s="416" t="s">
        <v>119</v>
      </c>
    </row>
    <row r="102" spans="1:12" ht="22.8" x14ac:dyDescent="0.25">
      <c r="A102" s="626" t="s">
        <v>488</v>
      </c>
      <c r="B102" s="412"/>
      <c r="C102" s="414" t="s">
        <v>1014</v>
      </c>
      <c r="D102" s="414" t="s">
        <v>511</v>
      </c>
      <c r="E102" s="418" t="s">
        <v>1015</v>
      </c>
      <c r="F102" s="410" t="s">
        <v>1016</v>
      </c>
      <c r="G102" s="419">
        <f>7500*12/'Average wages'!B27</f>
        <v>0.15048538549470641</v>
      </c>
      <c r="H102" s="418">
        <v>0</v>
      </c>
      <c r="I102" s="420">
        <v>0</v>
      </c>
      <c r="J102" s="519" t="s">
        <v>109</v>
      </c>
      <c r="K102" s="416" t="s">
        <v>109</v>
      </c>
      <c r="L102" s="416" t="s">
        <v>119</v>
      </c>
    </row>
    <row r="103" spans="1:12" ht="22.8" x14ac:dyDescent="0.25">
      <c r="A103" s="626" t="s">
        <v>489</v>
      </c>
      <c r="B103" s="412"/>
      <c r="C103" s="414" t="s">
        <v>1017</v>
      </c>
      <c r="D103" s="414" t="s">
        <v>578</v>
      </c>
      <c r="E103" s="418" t="s">
        <v>119</v>
      </c>
      <c r="F103" s="410" t="s">
        <v>562</v>
      </c>
      <c r="G103" s="222">
        <f>51804/'Average wages'!B27</f>
        <v>8.6619387890753005E-2</v>
      </c>
      <c r="H103" s="418">
        <v>0</v>
      </c>
      <c r="I103" s="417" t="s">
        <v>164</v>
      </c>
      <c r="J103" s="519" t="s">
        <v>109</v>
      </c>
      <c r="K103" s="416" t="s">
        <v>109</v>
      </c>
      <c r="L103" s="416" t="s">
        <v>119</v>
      </c>
    </row>
    <row r="104" spans="1:12" ht="45.6" x14ac:dyDescent="0.25">
      <c r="A104" s="626" t="s">
        <v>490</v>
      </c>
      <c r="B104" s="265" t="s">
        <v>313</v>
      </c>
      <c r="C104" s="155" t="s">
        <v>643</v>
      </c>
      <c r="D104" s="155" t="s">
        <v>511</v>
      </c>
      <c r="E104" s="266" t="s">
        <v>574</v>
      </c>
      <c r="F104" s="150" t="s">
        <v>145</v>
      </c>
      <c r="G104" s="267">
        <v>2.7E-2</v>
      </c>
      <c r="H104" s="266" t="s">
        <v>512</v>
      </c>
      <c r="I104" s="268" t="s">
        <v>915</v>
      </c>
      <c r="J104" s="240" t="str">
        <f>"PLN 8,088 of net income ("&amp;TEXT(8088/'Average wages'!B28,"0%")&amp;" of AW) per family member"</f>
        <v>PLN 8,088 of net income (15% of AW) per family member</v>
      </c>
      <c r="K104" s="241" t="s">
        <v>1310</v>
      </c>
      <c r="L104" s="241" t="s">
        <v>119</v>
      </c>
    </row>
    <row r="105" spans="1:12" ht="45.6" x14ac:dyDescent="0.25">
      <c r="A105" s="232" t="s">
        <v>492</v>
      </c>
      <c r="B105" s="269"/>
      <c r="C105" s="257" t="s">
        <v>575</v>
      </c>
      <c r="D105" s="257" t="s">
        <v>524</v>
      </c>
      <c r="E105" s="260" t="s">
        <v>119</v>
      </c>
      <c r="F105" s="74" t="s">
        <v>145</v>
      </c>
      <c r="G105" s="507">
        <v>0.02</v>
      </c>
      <c r="H105" s="260">
        <v>0</v>
      </c>
      <c r="I105" s="270" t="s">
        <v>624</v>
      </c>
      <c r="J105" s="242" t="str">
        <f>"PLN 112,000 ("&amp;TEXT(112000/'Average wages'!B28,"0%")&amp;" of AW)"</f>
        <v>PLN 112,000 (206% of AW)</v>
      </c>
      <c r="K105" s="243" t="str">
        <f>K104</f>
        <v>Benefit fully withdrawn if net income per family member exceeds threshold</v>
      </c>
      <c r="L105" s="243" t="s">
        <v>119</v>
      </c>
    </row>
    <row r="106" spans="1:12" ht="45.6" x14ac:dyDescent="0.25">
      <c r="A106" s="232" t="s">
        <v>488</v>
      </c>
      <c r="B106" s="269"/>
      <c r="C106" s="257" t="s">
        <v>644</v>
      </c>
      <c r="D106" s="257" t="s">
        <v>511</v>
      </c>
      <c r="E106" s="260" t="s">
        <v>574</v>
      </c>
      <c r="F106" s="74" t="s">
        <v>562</v>
      </c>
      <c r="G106" s="507">
        <v>4.2999999999999997E-2</v>
      </c>
      <c r="H106" s="260">
        <v>0</v>
      </c>
      <c r="I106" s="270" t="s">
        <v>916</v>
      </c>
      <c r="J106" s="242" t="str">
        <f>J104</f>
        <v>PLN 8,088 of net income (15% of AW) per family member</v>
      </c>
      <c r="K106" s="243" t="str">
        <f>K104</f>
        <v>Benefit fully withdrawn if net income per family member exceeds threshold</v>
      </c>
      <c r="L106" s="243" t="s">
        <v>119</v>
      </c>
    </row>
    <row r="107" spans="1:12" ht="102.6" x14ac:dyDescent="0.25">
      <c r="A107" s="232" t="s">
        <v>489</v>
      </c>
      <c r="B107" s="271"/>
      <c r="C107" s="250" t="s">
        <v>587</v>
      </c>
      <c r="D107" s="250" t="s">
        <v>532</v>
      </c>
      <c r="E107" s="261" t="s">
        <v>119</v>
      </c>
      <c r="F107" s="151" t="s">
        <v>562</v>
      </c>
      <c r="G107" s="262">
        <v>2.7E-2</v>
      </c>
      <c r="H107" s="261">
        <v>0</v>
      </c>
      <c r="I107" s="263" t="s">
        <v>164</v>
      </c>
      <c r="J107" s="246" t="str">
        <f>"PLN 8,000 ("&amp;TEXT(8000/'Average wages'!B28,"0%")&amp;" of AW)"</f>
        <v>PLN 8,000 (15% of AW)</v>
      </c>
      <c r="K107" s="247" t="str">
        <f>"Tax credit withdrawn in two stages: 17.7% up to an intermediate threshold of PLN 13,000 ("&amp;TEXT(13000/'Average wages'!B28,"0%")&amp;" of AW) then 13.4% above a higher threshold of PLN 85,528 ("&amp;TEXT(85528/'Average wages'!B28,"0%")&amp;" of AW"</f>
        <v>Tax credit withdrawn in two stages: 17.7% up to an intermediate threshold of PLN 13,000 (24% of AW) then 13.4% above a higher threshold of PLN 85,528 (157% of AW</v>
      </c>
      <c r="L107" s="247" t="s">
        <v>119</v>
      </c>
    </row>
    <row r="108" spans="1:12" ht="114" x14ac:dyDescent="0.25">
      <c r="A108" s="232" t="s">
        <v>490</v>
      </c>
      <c r="B108" s="130" t="s">
        <v>82</v>
      </c>
      <c r="C108" s="131" t="s">
        <v>588</v>
      </c>
      <c r="D108" s="131" t="s">
        <v>511</v>
      </c>
      <c r="E108" s="238" t="s">
        <v>601</v>
      </c>
      <c r="F108" s="135" t="s">
        <v>145</v>
      </c>
      <c r="G108" s="239">
        <f>36.6*12/'Average wages'!B29</f>
        <v>2.4184647464935104E-2</v>
      </c>
      <c r="H108" s="238" t="s">
        <v>539</v>
      </c>
      <c r="I108" s="415" t="s">
        <v>804</v>
      </c>
      <c r="J108" s="520" t="str">
        <f>"EUR 3002.30 ("&amp;TEXT(100*3002.3/'Average wages'!B29,0)&amp;"% of AW) of reference income (that is, family income divided by the number of children plus one)"</f>
        <v>EUR 3002.30 (17% of AW) of reference income (that is, family income divided by the number of children plus one)</v>
      </c>
      <c r="K108" s="230" t="str">
        <f>"Withdrawn in steps (according to income brackets) down to zero at reference income above EUR 15011.50 ("&amp;TEXT(100*15011.5/'Average wages'!B29,0)&amp;"% of AW) for children under 3 or EUR 9006.90 ("&amp;TEXT(9006.9*100/'Average wages'!B29,0)&amp;"% of AW) for children aged 3 and over"</f>
        <v>Withdrawn in steps (according to income brackets) down to zero at reference income above EUR 15011.50 (83% of AW) for children under 3 or EUR 9006.90 (50% of AW) for children aged 3 and over</v>
      </c>
      <c r="L108" s="230" t="s">
        <v>320</v>
      </c>
    </row>
    <row r="109" spans="1:12" ht="45.6" x14ac:dyDescent="0.25">
      <c r="A109" s="232" t="s">
        <v>489</v>
      </c>
      <c r="B109" s="412"/>
      <c r="C109" s="414" t="s">
        <v>806</v>
      </c>
      <c r="D109" s="414" t="s">
        <v>511</v>
      </c>
      <c r="E109" s="418" t="s">
        <v>807</v>
      </c>
      <c r="F109" s="410" t="s">
        <v>145</v>
      </c>
      <c r="G109" s="419">
        <f>36.6/'Average wages'!B29</f>
        <v>2.015387288744592E-3</v>
      </c>
      <c r="H109" s="418">
        <v>0</v>
      </c>
      <c r="I109" s="420">
        <v>0</v>
      </c>
      <c r="J109" s="519" t="str">
        <f>J110</f>
        <v>EUR 3002.30 (17% of AW) of reference income (that is, family income divided by the number of children plus one)</v>
      </c>
      <c r="K109" s="416" t="s">
        <v>808</v>
      </c>
      <c r="L109" s="416" t="s">
        <v>320</v>
      </c>
    </row>
    <row r="110" spans="1:12" ht="114" x14ac:dyDescent="0.25">
      <c r="A110" s="232" t="s">
        <v>491</v>
      </c>
      <c r="B110" s="136"/>
      <c r="C110" s="137" t="s">
        <v>589</v>
      </c>
      <c r="D110" s="137" t="s">
        <v>511</v>
      </c>
      <c r="E110" s="244" t="s">
        <v>601</v>
      </c>
      <c r="F110" s="82" t="s">
        <v>562</v>
      </c>
      <c r="G110" s="255">
        <f>(49.41-36.6)*12/'Average wages'!B29</f>
        <v>8.4646266127272832E-3</v>
      </c>
      <c r="H110" s="244" t="s">
        <v>539</v>
      </c>
      <c r="I110" s="251">
        <v>0</v>
      </c>
      <c r="J110" s="512" t="str">
        <f>J108</f>
        <v>EUR 3002.30 (17% of AW) of reference income (that is, family income divided by the number of children plus one)</v>
      </c>
      <c r="K110" s="513" t="str">
        <f>K108</f>
        <v>Withdrawn in steps (according to income brackets) down to zero at reference income above EUR 15011.50 (83% of AW) for children under 3 or EUR 9006.90 (50% of AW) for children aged 3 and over</v>
      </c>
      <c r="L110" s="513" t="s">
        <v>320</v>
      </c>
    </row>
    <row r="111" spans="1:12" x14ac:dyDescent="0.25">
      <c r="A111" s="232" t="s">
        <v>488</v>
      </c>
      <c r="B111" s="130" t="s">
        <v>83</v>
      </c>
      <c r="C111" s="131" t="s">
        <v>590</v>
      </c>
      <c r="D111" s="131" t="s">
        <v>515</v>
      </c>
      <c r="E111" s="238" t="s">
        <v>119</v>
      </c>
      <c r="F111" s="135" t="s">
        <v>145</v>
      </c>
      <c r="G111" s="239">
        <f>23.68*12/'Average wages'!B30</f>
        <v>2.3751793238236889E-2</v>
      </c>
      <c r="H111" s="238">
        <v>0</v>
      </c>
      <c r="I111" s="229">
        <v>0</v>
      </c>
      <c r="J111" s="520" t="s">
        <v>109</v>
      </c>
      <c r="K111" s="230" t="s">
        <v>109</v>
      </c>
      <c r="L111" s="230" t="s">
        <v>119</v>
      </c>
    </row>
    <row r="112" spans="1:12" ht="22.8" x14ac:dyDescent="0.25">
      <c r="A112" s="232" t="s">
        <v>489</v>
      </c>
      <c r="B112" s="412"/>
      <c r="C112" s="414" t="s">
        <v>575</v>
      </c>
      <c r="D112" s="414" t="s">
        <v>591</v>
      </c>
      <c r="E112" s="418">
        <v>0</v>
      </c>
      <c r="F112" s="410" t="str">
        <f>"Earnings of at least 6 times the MW ("&amp;TEXT(100*480*6/'Average wages'!B30,0)&amp;"% of AW)"</f>
        <v>Earnings of at least 6 times the MW (24% of AW)</v>
      </c>
      <c r="G112" s="419">
        <f>258.72/'Average wages'!B30</f>
        <v>2.1625365803056903E-2</v>
      </c>
      <c r="H112" s="418">
        <v>0</v>
      </c>
      <c r="I112" s="420">
        <v>0</v>
      </c>
      <c r="J112" s="519" t="s">
        <v>109</v>
      </c>
      <c r="K112" s="416" t="s">
        <v>109</v>
      </c>
      <c r="L112" s="416" t="s">
        <v>119</v>
      </c>
    </row>
    <row r="113" spans="1:12" ht="34.200000000000003" x14ac:dyDescent="0.25">
      <c r="A113" s="232" t="s">
        <v>490</v>
      </c>
      <c r="B113" s="136"/>
      <c r="C113" s="137" t="s">
        <v>592</v>
      </c>
      <c r="D113" s="137" t="s">
        <v>511</v>
      </c>
      <c r="E113" s="244" t="s">
        <v>119</v>
      </c>
      <c r="F113" s="82" t="s">
        <v>1278</v>
      </c>
      <c r="G113" s="245">
        <f>91.06*1.2*12/'Average wages'!B30</f>
        <v>0.10960329183820193</v>
      </c>
      <c r="H113" s="244">
        <v>0</v>
      </c>
      <c r="I113" s="251">
        <v>0</v>
      </c>
      <c r="J113" s="512" t="s">
        <v>593</v>
      </c>
      <c r="K113" s="513" t="s">
        <v>1296</v>
      </c>
      <c r="L113" s="513" t="s">
        <v>119</v>
      </c>
    </row>
    <row r="114" spans="1:12" ht="79.8" x14ac:dyDescent="0.25">
      <c r="A114" s="232" t="s">
        <v>491</v>
      </c>
      <c r="B114" s="130" t="s">
        <v>84</v>
      </c>
      <c r="C114" s="131" t="s">
        <v>594</v>
      </c>
      <c r="D114" s="131" t="s">
        <v>511</v>
      </c>
      <c r="E114" s="238">
        <v>17</v>
      </c>
      <c r="F114" s="135" t="s">
        <v>145</v>
      </c>
      <c r="G114" s="239">
        <f>114.31*12/'Average wages'!B31</f>
        <v>6.9523462447004081E-2</v>
      </c>
      <c r="H114" s="238" t="s">
        <v>798</v>
      </c>
      <c r="I114" s="415" t="s">
        <v>800</v>
      </c>
      <c r="J114" s="520" t="str">
        <f>"EUR 185.43/month of income per family member ("&amp;TEXT(100*185.43*12/'Average wages'!B31,0)&amp;"% of AW)"</f>
        <v>EUR 185.43/month of income per family member (11% of AW)</v>
      </c>
      <c r="K114" s="230" t="str">
        <f>"Benefit withdrawn in six steps, fully withdrawn when income per family member exceeds EUR 1019.86/month ("&amp;TEXT(100*1019.86*12/'Average wages'!B31,0)&amp;"% of AW)"</f>
        <v>Benefit withdrawn in six steps, fully withdrawn when income per family member exceeds EUR 1019.86/month (62% of AW)</v>
      </c>
      <c r="L114" s="230" t="s">
        <v>119</v>
      </c>
    </row>
    <row r="115" spans="1:12" ht="34.200000000000003" x14ac:dyDescent="0.25">
      <c r="A115" s="232" t="s">
        <v>492</v>
      </c>
      <c r="B115" s="412"/>
      <c r="C115" s="414" t="s">
        <v>595</v>
      </c>
      <c r="D115" s="414" t="s">
        <v>511</v>
      </c>
      <c r="E115" s="418" t="s">
        <v>119</v>
      </c>
      <c r="F115" s="410" t="s">
        <v>1258</v>
      </c>
      <c r="G115" s="419">
        <f>395/3*12/'Average wages'!B31</f>
        <v>8.0079805402171314E-2</v>
      </c>
      <c r="H115" s="418">
        <v>0</v>
      </c>
      <c r="I115" s="417" t="s">
        <v>795</v>
      </c>
      <c r="J115" s="519" t="str">
        <f>"EUR 648.47/month of income per family member ("&amp;TEXT(100*648.47*12/'Average wages'!B31,0)&amp;"% of AW)"</f>
        <v>EUR 648.47/month of income per family member (39% of AW)</v>
      </c>
      <c r="K115" s="416" t="s">
        <v>1296</v>
      </c>
      <c r="L115" s="416" t="s">
        <v>119</v>
      </c>
    </row>
    <row r="116" spans="1:12" ht="22.8" x14ac:dyDescent="0.25">
      <c r="A116" s="232" t="s">
        <v>488</v>
      </c>
      <c r="B116" s="412"/>
      <c r="C116" s="414" t="s">
        <v>596</v>
      </c>
      <c r="D116" s="414" t="s">
        <v>578</v>
      </c>
      <c r="E116" s="418" t="s">
        <v>119</v>
      </c>
      <c r="F116" s="410" t="s">
        <v>145</v>
      </c>
      <c r="G116" s="419">
        <f>2436.92/'Average wages'!B31</f>
        <v>0.12351144264598693</v>
      </c>
      <c r="H116" s="418">
        <v>0</v>
      </c>
      <c r="I116" s="417" t="s">
        <v>796</v>
      </c>
      <c r="J116" s="519" t="s">
        <v>109</v>
      </c>
      <c r="K116" s="416" t="s">
        <v>109</v>
      </c>
      <c r="L116" s="416" t="s">
        <v>109</v>
      </c>
    </row>
    <row r="117" spans="1:12" ht="22.8" x14ac:dyDescent="0.25">
      <c r="A117" s="232" t="s">
        <v>489</v>
      </c>
      <c r="B117" s="412"/>
      <c r="C117" s="414" t="s">
        <v>597</v>
      </c>
      <c r="D117" s="414" t="s">
        <v>511</v>
      </c>
      <c r="E117" s="418" t="s">
        <v>119</v>
      </c>
      <c r="F117" s="410" t="s">
        <v>562</v>
      </c>
      <c r="G117" s="419">
        <f>59.51*12/'Average wages'!B31</f>
        <v>3.6194044704935813E-2</v>
      </c>
      <c r="H117" s="418">
        <v>0</v>
      </c>
      <c r="I117" s="420">
        <v>0</v>
      </c>
      <c r="J117" s="519" t="s">
        <v>1311</v>
      </c>
      <c r="K117" s="416" t="s">
        <v>1312</v>
      </c>
      <c r="L117" s="416" t="s">
        <v>320</v>
      </c>
    </row>
    <row r="118" spans="1:12" ht="79.8" x14ac:dyDescent="0.25">
      <c r="A118" s="232" t="s">
        <v>488</v>
      </c>
      <c r="B118" s="136"/>
      <c r="C118" s="137" t="s">
        <v>598</v>
      </c>
      <c r="D118" s="137" t="s">
        <v>511</v>
      </c>
      <c r="E118" s="244">
        <v>17</v>
      </c>
      <c r="F118" s="82" t="s">
        <v>562</v>
      </c>
      <c r="G118" s="245">
        <f>0.3*114.31*12/'Average wages'!B31</f>
        <v>2.0857038734101222E-2</v>
      </c>
      <c r="H118" s="244" t="s">
        <v>797</v>
      </c>
      <c r="I118" s="407" t="s">
        <v>800</v>
      </c>
      <c r="J118" s="512" t="str">
        <f>J114</f>
        <v>EUR 185.43/month of income per family member (11% of AW)</v>
      </c>
      <c r="K118" s="513" t="str">
        <f>K114</f>
        <v>Benefit withdrawn in six steps, fully withdrawn when income per family member exceeds EUR 1019.86/month (62% of AW)</v>
      </c>
      <c r="L118" s="513" t="s">
        <v>119</v>
      </c>
    </row>
    <row r="119" spans="1:12" ht="45.6" x14ac:dyDescent="0.25">
      <c r="A119" s="232" t="s">
        <v>491</v>
      </c>
      <c r="B119" s="130" t="s">
        <v>85</v>
      </c>
      <c r="C119" s="131" t="s">
        <v>599</v>
      </c>
      <c r="D119" s="131" t="s">
        <v>511</v>
      </c>
      <c r="E119" s="238">
        <v>17</v>
      </c>
      <c r="F119" s="135" t="s">
        <v>145</v>
      </c>
      <c r="G119" s="239">
        <v>1.1180834570295204E-2</v>
      </c>
      <c r="H119" s="238">
        <v>0</v>
      </c>
      <c r="I119" s="229">
        <v>0</v>
      </c>
      <c r="J119" s="520" t="str">
        <f>"Income threshold increases with number of children; maximum income for one child EUR 11 606 ("&amp;TEXT(11606/'Average wages'!B32,"0%")&amp;" of AW)"</f>
        <v>Income threshold increases with number of children; maximum income for one child EUR 11 606 (43% of AW)</v>
      </c>
      <c r="K119" s="230">
        <v>1</v>
      </c>
      <c r="L119" s="230" t="s">
        <v>119</v>
      </c>
    </row>
    <row r="120" spans="1:12" ht="45.6" x14ac:dyDescent="0.25">
      <c r="A120" s="232" t="s">
        <v>489</v>
      </c>
      <c r="B120" s="265" t="s">
        <v>86</v>
      </c>
      <c r="C120" s="155" t="s">
        <v>645</v>
      </c>
      <c r="D120" s="155" t="s">
        <v>515</v>
      </c>
      <c r="E120" s="266" t="s">
        <v>600</v>
      </c>
      <c r="F120" s="150" t="s">
        <v>145</v>
      </c>
      <c r="G120" s="267">
        <f>12600/'Average wages'!B33</f>
        <v>2.8027255482061808E-2</v>
      </c>
      <c r="H120" s="463" t="s">
        <v>969</v>
      </c>
      <c r="I120" s="268" t="s">
        <v>512</v>
      </c>
      <c r="J120" s="240" t="s">
        <v>109</v>
      </c>
      <c r="K120" s="241" t="s">
        <v>109</v>
      </c>
      <c r="L120" s="241" t="s">
        <v>109</v>
      </c>
    </row>
    <row r="121" spans="1:12" ht="22.8" x14ac:dyDescent="0.25">
      <c r="A121" s="232" t="s">
        <v>488</v>
      </c>
      <c r="B121" s="271"/>
      <c r="C121" s="250" t="s">
        <v>646</v>
      </c>
      <c r="D121" s="250" t="s">
        <v>515</v>
      </c>
      <c r="E121" s="261" t="s">
        <v>600</v>
      </c>
      <c r="F121" s="151" t="s">
        <v>543</v>
      </c>
      <c r="G121" s="262">
        <f>1573*12/'Average wages'!B33</f>
        <v>4.1987497974555449E-2</v>
      </c>
      <c r="H121" s="464" t="s">
        <v>512</v>
      </c>
      <c r="I121" s="272">
        <v>0</v>
      </c>
      <c r="J121" s="246" t="s">
        <v>109</v>
      </c>
      <c r="K121" s="247" t="s">
        <v>109</v>
      </c>
      <c r="L121" s="247" t="s">
        <v>109</v>
      </c>
    </row>
    <row r="122" spans="1:12" ht="22.8" x14ac:dyDescent="0.25">
      <c r="A122" s="232" t="s">
        <v>491</v>
      </c>
      <c r="B122" s="130" t="s">
        <v>505</v>
      </c>
      <c r="C122" s="131" t="s">
        <v>1061</v>
      </c>
      <c r="D122" s="131" t="s">
        <v>515</v>
      </c>
      <c r="E122" s="238" t="s">
        <v>1062</v>
      </c>
      <c r="F122" s="135" t="s">
        <v>602</v>
      </c>
      <c r="G122" s="239">
        <f>2400/'Average wages'!B34</f>
        <v>2.7488604799706887E-2</v>
      </c>
      <c r="H122" s="238" t="s">
        <v>512</v>
      </c>
      <c r="I122" s="229">
        <v>0</v>
      </c>
      <c r="J122" s="520" t="s">
        <v>109</v>
      </c>
      <c r="K122" s="230" t="s">
        <v>109</v>
      </c>
      <c r="L122" s="230" t="s">
        <v>109</v>
      </c>
    </row>
    <row r="123" spans="1:12" x14ac:dyDescent="0.25">
      <c r="A123" s="626" t="s">
        <v>488</v>
      </c>
      <c r="B123" s="136"/>
      <c r="C123" s="137" t="s">
        <v>569</v>
      </c>
      <c r="D123" s="137" t="s">
        <v>515</v>
      </c>
      <c r="E123" s="244" t="s">
        <v>1260</v>
      </c>
      <c r="F123" s="82" t="s">
        <v>145</v>
      </c>
      <c r="G123" s="245">
        <f>6500/'Average wages'!B34</f>
        <v>7.4448304665872822E-2</v>
      </c>
      <c r="H123" s="244">
        <v>0</v>
      </c>
      <c r="I123" s="251">
        <v>0</v>
      </c>
      <c r="J123" s="512" t="s">
        <v>109</v>
      </c>
      <c r="K123" s="513" t="s">
        <v>109</v>
      </c>
      <c r="L123" s="513" t="s">
        <v>109</v>
      </c>
    </row>
    <row r="124" spans="1:12" ht="91.2" x14ac:dyDescent="0.25">
      <c r="A124" s="626" t="s">
        <v>489</v>
      </c>
      <c r="B124" s="273" t="s">
        <v>317</v>
      </c>
      <c r="C124" s="496" t="s">
        <v>564</v>
      </c>
      <c r="D124" s="155" t="s">
        <v>603</v>
      </c>
      <c r="E124" s="266" t="s">
        <v>600</v>
      </c>
      <c r="F124" s="150" t="s">
        <v>145</v>
      </c>
      <c r="G124" s="267">
        <f>20.7*52/'Average wages'!B36</f>
        <v>2.7423803697816544E-2</v>
      </c>
      <c r="H124" s="266">
        <v>0</v>
      </c>
      <c r="I124" s="248" t="s">
        <v>539</v>
      </c>
      <c r="J124" s="240" t="str">
        <f>"GBP 50,000 ("&amp;TEXT(50000*100/'Average wages'!B36,0)&amp;"% of AW) of income of higher-earning parent"</f>
        <v>GBP 50,000 (127% of AW) of income of higher-earning parent</v>
      </c>
      <c r="K124" s="241" t="str">
        <f>"1% of benefit amount lost for each GBP 100 of income between GBP50000 ("&amp;TEXT(50000*100/'Average wages'!B36,0)&amp;"% of AW) to GBP 60000 ("&amp;TEXT(60000*100/'Average wages'!B36,0)&amp;"% of AW), at which point benefit is fully withdrawn"</f>
        <v>1% of benefit amount lost for each GBP 100 of income between GBP50000 (127% of AW) to GBP 60000 (153% of AW), at which point benefit is fully withdrawn</v>
      </c>
      <c r="L124" s="241" t="s">
        <v>145</v>
      </c>
    </row>
    <row r="125" spans="1:12" x14ac:dyDescent="0.25">
      <c r="A125" s="626" t="s">
        <v>490</v>
      </c>
      <c r="B125" s="271"/>
      <c r="C125" s="498" t="s">
        <v>625</v>
      </c>
      <c r="D125" s="250" t="s">
        <v>511</v>
      </c>
      <c r="E125" s="261" t="s">
        <v>600</v>
      </c>
      <c r="F125" s="151" t="s">
        <v>145</v>
      </c>
      <c r="G125" s="262">
        <f>2780/'Average wages'!B36</f>
        <v>7.0826992084661838E-2</v>
      </c>
      <c r="H125" s="261">
        <v>0</v>
      </c>
      <c r="I125" s="272" t="s">
        <v>1292</v>
      </c>
      <c r="J125" s="246" t="str">
        <f>" GBP 16,105 ("&amp;TEXT(16105*100/'Average wages'!B36,0)&amp;"% of AW)"</f>
        <v xml:space="preserve"> GBP 16,105 (41% of AW)</v>
      </c>
      <c r="K125" s="247">
        <v>0.41</v>
      </c>
      <c r="L125" s="247" t="s">
        <v>145</v>
      </c>
    </row>
    <row r="126" spans="1:12" ht="36" x14ac:dyDescent="0.25">
      <c r="A126" s="626" t="s">
        <v>494</v>
      </c>
      <c r="B126" s="143" t="s">
        <v>506</v>
      </c>
      <c r="C126" s="131" t="s">
        <v>604</v>
      </c>
      <c r="D126" s="131" t="s">
        <v>511</v>
      </c>
      <c r="E126" s="238" t="s">
        <v>605</v>
      </c>
      <c r="F126" s="135" t="s">
        <v>145</v>
      </c>
      <c r="G126" s="239">
        <f>403*12/'Average wages'!B37</f>
        <v>8.8903749401342103E-2</v>
      </c>
      <c r="H126" s="238">
        <v>0</v>
      </c>
      <c r="I126" s="415" t="s">
        <v>539</v>
      </c>
      <c r="J126" s="520" t="str">
        <f>"USD 200/month ("&amp;TEXT(100*200*12/'Average wages'!B37,0)&amp;"% of AW)"</f>
        <v>USD 200/month (4% of AW)</v>
      </c>
      <c r="K126" s="230">
        <v>0.5</v>
      </c>
      <c r="L126" s="230" t="s">
        <v>119</v>
      </c>
    </row>
    <row r="127" spans="1:12" ht="68.400000000000006" x14ac:dyDescent="0.25">
      <c r="A127" s="232" t="s">
        <v>491</v>
      </c>
      <c r="B127" s="412"/>
      <c r="C127" s="414" t="s">
        <v>606</v>
      </c>
      <c r="D127" s="414" t="s">
        <v>524</v>
      </c>
      <c r="E127" s="418" t="s">
        <v>557</v>
      </c>
      <c r="F127" s="410" t="s">
        <v>607</v>
      </c>
      <c r="G127" s="419">
        <f>(10180-6780)/'Average wages'!B37</f>
        <v>6.2504703880182616E-2</v>
      </c>
      <c r="H127" s="418">
        <v>0</v>
      </c>
      <c r="I127" s="420" t="s">
        <v>539</v>
      </c>
      <c r="J127" s="519" t="str">
        <f>"USD 18,660 ("&amp;TEXT(100*18660/'Average wages'!B37,0)&amp;"% of AW) for single people 
USD 24,350 ("&amp;TEXT(100*24350/'Average wages'!B37,0)&amp;"% of AW) for couples"</f>
        <v>USD 18,660 (34% of AW) for single people 
USD 24,350 (45% of AW) for couples</v>
      </c>
      <c r="K127" s="416" t="s">
        <v>1313</v>
      </c>
      <c r="L127" s="416" t="s">
        <v>119</v>
      </c>
    </row>
    <row r="128" spans="1:12" ht="23.25" customHeight="1" x14ac:dyDescent="0.25">
      <c r="A128" s="232" t="s">
        <v>491</v>
      </c>
      <c r="B128" s="412"/>
      <c r="C128" s="414" t="s">
        <v>994</v>
      </c>
      <c r="D128" s="414" t="s">
        <v>608</v>
      </c>
      <c r="E128" s="418" t="s">
        <v>119</v>
      </c>
      <c r="F128" s="410" t="s">
        <v>562</v>
      </c>
      <c r="G128" s="419">
        <f>(18000-12000)/'Average wages'!B37</f>
        <v>0.11030241861208698</v>
      </c>
      <c r="H128" s="418">
        <v>0</v>
      </c>
      <c r="I128" s="420">
        <v>0</v>
      </c>
      <c r="J128" s="519" t="s">
        <v>109</v>
      </c>
      <c r="K128" s="416" t="s">
        <v>109</v>
      </c>
      <c r="L128" s="416" t="s">
        <v>119</v>
      </c>
    </row>
    <row r="129" spans="1:12" ht="45.6" x14ac:dyDescent="0.25">
      <c r="A129" s="232"/>
      <c r="B129" s="412"/>
      <c r="C129" s="414" t="s">
        <v>609</v>
      </c>
      <c r="D129" s="414" t="s">
        <v>610</v>
      </c>
      <c r="E129" s="418">
        <v>16</v>
      </c>
      <c r="F129" s="410" t="s">
        <v>145</v>
      </c>
      <c r="G129" s="419">
        <f>2000/'Average wages'!B37</f>
        <v>3.6767472870695657E-2</v>
      </c>
      <c r="H129" s="418">
        <v>0</v>
      </c>
      <c r="I129" s="445" t="s">
        <v>626</v>
      </c>
      <c r="J129" s="519" t="str">
        <f>"USD 400,000 ("&amp;TEXT(100*400000/'Average wages'!B37,0)&amp;"% of AW) for married taxpayers
USD 200,000 ("&amp;TEXT(100*200000/'Average wages'!B37,0)&amp;"% of AW) for single and lone-parent taxpayers"</f>
        <v>USD 400,000 (735% of AW) for married taxpayers
USD 200,000 (368% of AW) for single and lone-parent taxpayers</v>
      </c>
      <c r="K129" s="416">
        <v>0.05</v>
      </c>
      <c r="L129" s="416" t="s">
        <v>119</v>
      </c>
    </row>
    <row r="130" spans="1:12" ht="22.8" x14ac:dyDescent="0.25">
      <c r="A130" s="232" t="s">
        <v>488</v>
      </c>
      <c r="B130" s="412"/>
      <c r="C130" s="414" t="s">
        <v>993</v>
      </c>
      <c r="D130" s="414" t="s">
        <v>581</v>
      </c>
      <c r="E130" s="418" t="s">
        <v>119</v>
      </c>
      <c r="F130" s="410" t="s">
        <v>562</v>
      </c>
      <c r="G130" s="249" t="s">
        <v>109</v>
      </c>
      <c r="H130" s="418">
        <v>0</v>
      </c>
      <c r="I130" s="417" t="s">
        <v>164</v>
      </c>
      <c r="J130" s="519" t="s">
        <v>109</v>
      </c>
      <c r="K130" s="416" t="s">
        <v>109</v>
      </c>
      <c r="L130" s="416" t="s">
        <v>119</v>
      </c>
    </row>
    <row r="131" spans="1:12" x14ac:dyDescent="0.25">
      <c r="A131" s="232" t="s">
        <v>491</v>
      </c>
      <c r="B131" s="274"/>
      <c r="C131" s="53"/>
      <c r="D131" s="414"/>
      <c r="E131" s="418"/>
      <c r="F131" s="410"/>
      <c r="G131" s="249"/>
      <c r="H131" s="418"/>
      <c r="I131" s="420"/>
      <c r="J131" s="519"/>
      <c r="K131" s="416"/>
      <c r="L131" s="416"/>
    </row>
    <row r="132" spans="1:12" x14ac:dyDescent="0.25">
      <c r="A132" s="232" t="s">
        <v>488</v>
      </c>
      <c r="B132" s="223" t="s">
        <v>91</v>
      </c>
      <c r="C132" s="224"/>
      <c r="D132" s="225"/>
      <c r="E132" s="274"/>
      <c r="F132" s="275"/>
      <c r="G132" s="276"/>
      <c r="H132" s="274"/>
      <c r="I132" s="277"/>
      <c r="J132" s="412"/>
      <c r="K132" s="277"/>
      <c r="L132" s="277"/>
    </row>
    <row r="133" spans="1:12" ht="125.4" x14ac:dyDescent="0.25">
      <c r="A133" s="232" t="s">
        <v>491</v>
      </c>
      <c r="B133" s="499" t="s">
        <v>92</v>
      </c>
      <c r="C133" s="155" t="s">
        <v>1248</v>
      </c>
      <c r="D133" s="155" t="s">
        <v>511</v>
      </c>
      <c r="E133" s="266" t="s">
        <v>574</v>
      </c>
      <c r="F133" s="150" t="s">
        <v>145</v>
      </c>
      <c r="G133" s="267">
        <v>3.7877187362176941E-2</v>
      </c>
      <c r="H133" s="266">
        <v>0</v>
      </c>
      <c r="I133" s="268">
        <v>0</v>
      </c>
      <c r="J133" s="240" t="str">
        <f>"BGN 400 per month ("&amp;TEXT(400*12/'Average wages'!B39,"0%")&amp;" of AW) per family member"</f>
        <v>BGN 400 per month (35% of AW) per family member</v>
      </c>
      <c r="K133" s="241" t="str">
        <f>"Benefit withdrawn in two stages: 80% of the allowance paid if gross income per family member is between BGN 400 and BGN 500 per month ("&amp;TEXT(500*12/'Average wages'!B39,"0%")&amp;" of AW)
Benefit fully withdrawn if gross income per family member above this level"</f>
        <v>Benefit withdrawn in two stages: 80% of the allowance paid if gross income per family member is between BGN 400 and BGN 500 per month (43% of AW)
Benefit fully withdrawn if gross income per family member above this level</v>
      </c>
      <c r="L133" s="241" t="s">
        <v>320</v>
      </c>
    </row>
    <row r="134" spans="1:12" ht="45.6" x14ac:dyDescent="0.25">
      <c r="A134" s="232" t="s">
        <v>488</v>
      </c>
      <c r="B134" s="278"/>
      <c r="C134" s="257" t="s">
        <v>1249</v>
      </c>
      <c r="D134" s="257" t="s">
        <v>511</v>
      </c>
      <c r="E134" s="260" t="s">
        <v>611</v>
      </c>
      <c r="F134" s="74" t="s">
        <v>145</v>
      </c>
      <c r="G134" s="507">
        <v>1.9727701751133822E-2</v>
      </c>
      <c r="H134" s="260">
        <v>0</v>
      </c>
      <c r="I134" s="279">
        <v>0</v>
      </c>
      <c r="J134" s="242" t="str">
        <f>"BGN 450 per month ("&amp;TEXT(450*12/'Average wages'!B39,"0%")&amp;" of AW) per family member"</f>
        <v>BGN 450 per month (39% of AW) per family member</v>
      </c>
      <c r="K134" s="279" t="s">
        <v>1314</v>
      </c>
      <c r="L134" s="279" t="s">
        <v>320</v>
      </c>
    </row>
    <row r="135" spans="1:12" ht="22.8" x14ac:dyDescent="0.25">
      <c r="A135" s="232" t="s">
        <v>491</v>
      </c>
      <c r="B135" s="280"/>
      <c r="C135" s="250" t="s">
        <v>612</v>
      </c>
      <c r="D135" s="250" t="s">
        <v>515</v>
      </c>
      <c r="E135" s="261">
        <v>17</v>
      </c>
      <c r="F135" s="151" t="s">
        <v>613</v>
      </c>
      <c r="G135" s="262">
        <v>7.5754374724353882E-2</v>
      </c>
      <c r="H135" s="261">
        <v>0</v>
      </c>
      <c r="I135" s="281">
        <v>0</v>
      </c>
      <c r="J135" s="282" t="s">
        <v>109</v>
      </c>
      <c r="K135" s="281" t="s">
        <v>109</v>
      </c>
      <c r="L135" s="281" t="s">
        <v>109</v>
      </c>
    </row>
    <row r="136" spans="1:12" ht="91.2" x14ac:dyDescent="0.25">
      <c r="A136" s="232" t="s">
        <v>488</v>
      </c>
      <c r="B136" s="283" t="s">
        <v>93</v>
      </c>
      <c r="C136" s="131" t="s">
        <v>614</v>
      </c>
      <c r="D136" s="131" t="s">
        <v>511</v>
      </c>
      <c r="E136" s="238" t="s">
        <v>615</v>
      </c>
      <c r="F136" s="135" t="s">
        <v>145</v>
      </c>
      <c r="G136" s="239">
        <v>3.5999999999999997E-2</v>
      </c>
      <c r="H136" s="238">
        <v>0</v>
      </c>
      <c r="I136" s="229" t="s">
        <v>627</v>
      </c>
      <c r="J136" s="520" t="str">
        <f>"HRK 543 per month ("&amp;TEXT(543*12/'Average wages'!B40,"0%")&amp;" of AW) per family member"</f>
        <v>HRK 543 per month (7% of AW) per family member</v>
      </c>
      <c r="K136" s="230" t="str">
        <f>"Benefit decreases in steps with income brackets, fully withdrawn when income exceeds HRK 1,663 per month ("&amp;TEXT(1663*12/'Average wages'!B40,"0%")&amp;" of AW) per family member"</f>
        <v>Benefit decreases in steps with income brackets, fully withdrawn when income exceeds HRK 1,663 per month (21% of AW) per family member</v>
      </c>
      <c r="L136" s="230" t="s">
        <v>320</v>
      </c>
    </row>
    <row r="137" spans="1:12" ht="91.2" x14ac:dyDescent="0.25">
      <c r="A137" s="232" t="s">
        <v>488</v>
      </c>
      <c r="B137" s="285"/>
      <c r="C137" s="257" t="s">
        <v>860</v>
      </c>
      <c r="D137" s="257" t="s">
        <v>511</v>
      </c>
      <c r="E137" s="260" t="s">
        <v>615</v>
      </c>
      <c r="F137" s="74" t="s">
        <v>562</v>
      </c>
      <c r="G137" s="507">
        <v>8.9999999999999993E-3</v>
      </c>
      <c r="H137" s="260">
        <v>0</v>
      </c>
      <c r="I137" s="286" t="s">
        <v>627</v>
      </c>
      <c r="J137" s="287" t="str">
        <f>J136</f>
        <v>HRK 543 per month (7% of AW) per family member</v>
      </c>
      <c r="K137" s="279" t="str">
        <f>K136</f>
        <v>Benefit decreases in steps with income brackets, fully withdrawn when income exceeds HRK 1,663 per month (21% of AW) per family member</v>
      </c>
      <c r="L137" s="279" t="s">
        <v>320</v>
      </c>
    </row>
    <row r="138" spans="1:12" ht="45.6" x14ac:dyDescent="0.25">
      <c r="A138" s="232"/>
      <c r="B138" s="449"/>
      <c r="C138" s="414" t="s">
        <v>1250</v>
      </c>
      <c r="D138" s="414" t="s">
        <v>515</v>
      </c>
      <c r="E138" s="418" t="s">
        <v>930</v>
      </c>
      <c r="F138" s="410" t="s">
        <v>1279</v>
      </c>
      <c r="G138" s="419">
        <v>0.72499999999999998</v>
      </c>
      <c r="H138" s="418">
        <v>0</v>
      </c>
      <c r="I138" s="286" t="s">
        <v>164</v>
      </c>
      <c r="J138" s="519" t="s">
        <v>109</v>
      </c>
      <c r="K138" s="29" t="s">
        <v>861</v>
      </c>
      <c r="L138" s="416" t="s">
        <v>145</v>
      </c>
    </row>
    <row r="139" spans="1:12" ht="125.4" x14ac:dyDescent="0.25">
      <c r="A139" s="232" t="s">
        <v>489</v>
      </c>
      <c r="B139" s="283" t="s">
        <v>791</v>
      </c>
      <c r="C139" s="131" t="s">
        <v>886</v>
      </c>
      <c r="D139" s="131" t="s">
        <v>511</v>
      </c>
      <c r="E139" s="238" t="s">
        <v>887</v>
      </c>
      <c r="F139" s="135" t="s">
        <v>145</v>
      </c>
      <c r="G139" s="239">
        <v>2.1000000000000001E-2</v>
      </c>
      <c r="H139" s="238">
        <v>0</v>
      </c>
      <c r="I139" s="415" t="s">
        <v>1293</v>
      </c>
      <c r="J139" s="520" t="str">
        <f>"EUR 19,500 ("&amp;TEXT(19500/'Average wages'!B41,"0%")&amp;" of AW)"</f>
        <v>EUR 19,500 (85% of AW)</v>
      </c>
      <c r="K139" s="230" t="str">
        <f>"Benefit decreases in steps with income brackets, fully withdrawn at EUR 49,000 ("&amp;TEXT(49000/'Average wages'!B41,"0%")&amp;" of AW) for 1-child families, EUR 59,000 ("&amp;TEXT(59000/'Average wages'!B41,"0%")&amp;" of AW) for those with 2 children plus EUR 5,000 ("&amp;TEXT(5000/'Average wages'!B41,"0%")&amp;" of AW) for each additional child"</f>
        <v>Benefit decreases in steps with income brackets, fully withdrawn at EUR 49,000 (213% of AW) for 1-child families, EUR 59,000 (256% of AW) for those with 2 children plus EUR 5,000 (22% of AW) for each additional child</v>
      </c>
      <c r="L139" s="230" t="s">
        <v>320</v>
      </c>
    </row>
    <row r="140" spans="1:12" ht="45.6" x14ac:dyDescent="0.25">
      <c r="A140" s="232" t="s">
        <v>491</v>
      </c>
      <c r="B140" s="284"/>
      <c r="C140" s="137" t="s">
        <v>1021</v>
      </c>
      <c r="D140" s="137" t="s">
        <v>511</v>
      </c>
      <c r="E140" s="244" t="s">
        <v>887</v>
      </c>
      <c r="F140" s="82" t="s">
        <v>562</v>
      </c>
      <c r="G140" s="245">
        <v>9.4E-2</v>
      </c>
      <c r="H140" s="244">
        <v>0</v>
      </c>
      <c r="I140" s="251">
        <v>0</v>
      </c>
      <c r="J140" s="512" t="str">
        <f>"EUR 39,000 ("&amp;TEXT(39000/'Average wages'!B41,"0%")&amp;" of AW)"</f>
        <v>EUR 39,000 (169% of AW)</v>
      </c>
      <c r="K140" s="513" t="str">
        <f>"Benefit decreases in steps, fully withdrawn at EUR 49,000 ("&amp;TEXT(49000/'Average wages'!B41,"0%")&amp;" of AW)"</f>
        <v>Benefit decreases in steps, fully withdrawn at EUR 49,000 (213% of AW)</v>
      </c>
      <c r="L140" s="513" t="s">
        <v>320</v>
      </c>
    </row>
    <row r="141" spans="1:12" x14ac:dyDescent="0.25">
      <c r="A141" s="232" t="s">
        <v>489</v>
      </c>
      <c r="B141" s="289" t="s">
        <v>255</v>
      </c>
      <c r="C141" s="155" t="s">
        <v>619</v>
      </c>
      <c r="D141" s="155" t="s">
        <v>515</v>
      </c>
      <c r="E141" s="266">
        <v>20</v>
      </c>
      <c r="F141" s="150" t="s">
        <v>145</v>
      </c>
      <c r="G141" s="507">
        <v>1.9287643050019287E-2</v>
      </c>
      <c r="H141" s="266">
        <v>0</v>
      </c>
      <c r="I141" s="268">
        <v>0</v>
      </c>
      <c r="J141" s="240" t="s">
        <v>109</v>
      </c>
      <c r="K141" s="241" t="s">
        <v>109</v>
      </c>
      <c r="L141" s="241" t="s">
        <v>119</v>
      </c>
    </row>
    <row r="142" spans="1:12" ht="45.6" x14ac:dyDescent="0.25">
      <c r="A142" s="232" t="s">
        <v>491</v>
      </c>
      <c r="B142" s="290"/>
      <c r="C142" s="257" t="s">
        <v>620</v>
      </c>
      <c r="D142" s="257" t="s">
        <v>511</v>
      </c>
      <c r="E142" s="260">
        <v>20</v>
      </c>
      <c r="F142" s="74" t="s">
        <v>145</v>
      </c>
      <c r="G142" s="507">
        <v>1.4085122797994086E-2</v>
      </c>
      <c r="H142" s="260" t="s">
        <v>539</v>
      </c>
      <c r="I142" s="279">
        <v>0</v>
      </c>
      <c r="J142" s="287" t="str">
        <f>"EUR 5,477 ("&amp;TEXT(5477/'Average wages'!B43,"0%")&amp;" of AW)"</f>
        <v>EUR 5,477 (23% of AW)</v>
      </c>
      <c r="K142" s="279" t="s">
        <v>621</v>
      </c>
      <c r="L142" s="279" t="s">
        <v>119</v>
      </c>
    </row>
    <row r="143" spans="1:12" ht="45.6" x14ac:dyDescent="0.25">
      <c r="A143" s="232"/>
      <c r="B143" s="291"/>
      <c r="C143" s="250" t="s">
        <v>622</v>
      </c>
      <c r="D143" s="250" t="s">
        <v>1254</v>
      </c>
      <c r="E143" s="261">
        <v>20</v>
      </c>
      <c r="F143" s="151" t="s">
        <v>1280</v>
      </c>
      <c r="G143" s="262">
        <v>0.23264154986927266</v>
      </c>
      <c r="H143" s="261">
        <v>0</v>
      </c>
      <c r="I143" s="281" t="s">
        <v>539</v>
      </c>
      <c r="J143" s="282" t="str">
        <f>"EUR 59.98 per week ("&amp;TEXT(59.98*52/'Average wages'!B43,"0%")&amp;" of AW)"</f>
        <v>EUR 59.98 per week (13% of AW)</v>
      </c>
      <c r="K143" s="281" t="str">
        <f>"100% up to EUR 4,666 ("&amp;TEXT(4666/'Average wages'!B43,"0%")&amp;" of AW)
Benefit fully withdrawn above this threshold"</f>
        <v>100% up to EUR 4,666 (20% of AW)
Benefit fully withdrawn above this threshold</v>
      </c>
      <c r="L143" s="281" t="s">
        <v>119</v>
      </c>
    </row>
    <row r="144" spans="1:12" ht="22.8" x14ac:dyDescent="0.25">
      <c r="A144" s="232"/>
      <c r="B144" s="289" t="s">
        <v>96</v>
      </c>
      <c r="C144" s="155" t="s">
        <v>876</v>
      </c>
      <c r="D144" s="155" t="s">
        <v>515</v>
      </c>
      <c r="E144" s="266" t="s">
        <v>1260</v>
      </c>
      <c r="F144" s="150" t="s">
        <v>145</v>
      </c>
      <c r="G144" s="267">
        <v>2.3599999999999999E-2</v>
      </c>
      <c r="H144" s="266" t="s">
        <v>539</v>
      </c>
      <c r="I144" s="268">
        <v>0</v>
      </c>
      <c r="J144" s="240" t="s">
        <v>109</v>
      </c>
      <c r="K144" s="241" t="s">
        <v>109</v>
      </c>
      <c r="L144" s="241" t="s">
        <v>119</v>
      </c>
    </row>
    <row r="145" spans="1:12" ht="79.8" x14ac:dyDescent="0.25">
      <c r="A145" s="232"/>
      <c r="B145" s="290"/>
      <c r="C145" s="257" t="s">
        <v>647</v>
      </c>
      <c r="D145" s="257" t="s">
        <v>511</v>
      </c>
      <c r="E145" s="260">
        <v>18</v>
      </c>
      <c r="F145" s="74" t="s">
        <v>145</v>
      </c>
      <c r="G145" s="507">
        <v>2.3E-2</v>
      </c>
      <c r="H145" s="260">
        <v>0</v>
      </c>
      <c r="I145" s="279" t="s">
        <v>629</v>
      </c>
      <c r="J145" s="287" t="str">
        <f>"RON 200/month ("&amp;TEXT(200*12/'Average wages'!B44,"0%")&amp;" of AW) of net income per person"</f>
        <v>RON 200/month (6% of AW) of net income per person</v>
      </c>
      <c r="K145" s="279" t="s">
        <v>877</v>
      </c>
      <c r="L145" s="279" t="s">
        <v>119</v>
      </c>
    </row>
    <row r="146" spans="1:12" ht="79.8" x14ac:dyDescent="0.25">
      <c r="B146" s="291"/>
      <c r="C146" s="250" t="s">
        <v>648</v>
      </c>
      <c r="D146" s="250" t="s">
        <v>511</v>
      </c>
      <c r="E146" s="261">
        <v>18</v>
      </c>
      <c r="F146" s="151" t="s">
        <v>562</v>
      </c>
      <c r="G146" s="262">
        <v>0.03</v>
      </c>
      <c r="H146" s="261">
        <v>0</v>
      </c>
      <c r="I146" s="281" t="s">
        <v>629</v>
      </c>
      <c r="J146" s="282" t="str">
        <f>J145</f>
        <v>RON 200/month (6% of AW) of net income per person</v>
      </c>
      <c r="K146" s="281" t="s">
        <v>877</v>
      </c>
      <c r="L146" s="281" t="s">
        <v>119</v>
      </c>
    </row>
    <row r="148" spans="1:12" x14ac:dyDescent="0.25">
      <c r="B148" s="628" t="s">
        <v>97</v>
      </c>
    </row>
    <row r="149" spans="1:12" x14ac:dyDescent="0.25">
      <c r="B149" s="41" t="str">
        <f>'Unemployment Insurance'!A53</f>
        <v>1. "n.a." equals not applicable, "..." equals no information available.</v>
      </c>
      <c r="C149" s="31"/>
      <c r="D149" s="31"/>
      <c r="E149" s="31"/>
      <c r="F149" s="31"/>
      <c r="G149" s="31"/>
      <c r="H149" s="31"/>
      <c r="I149" s="31"/>
      <c r="J149" s="31"/>
      <c r="K149" s="31"/>
      <c r="L149" s="31"/>
    </row>
    <row r="150" spans="1:12" x14ac:dyDescent="0.25">
      <c r="B150" s="530" t="s">
        <v>718</v>
      </c>
      <c r="C150" s="31"/>
      <c r="D150" s="31"/>
      <c r="E150" s="31"/>
      <c r="F150" s="31"/>
      <c r="G150" s="31"/>
      <c r="H150" s="31"/>
      <c r="I150" s="31"/>
      <c r="J150" s="31"/>
      <c r="K150" s="31"/>
      <c r="L150" s="31"/>
    </row>
    <row r="151" spans="1:12" x14ac:dyDescent="0.25">
      <c r="B151" s="35" t="s">
        <v>833</v>
      </c>
    </row>
    <row r="152" spans="1:12" x14ac:dyDescent="0.25">
      <c r="B152" s="530" t="s">
        <v>719</v>
      </c>
    </row>
    <row r="153" spans="1:12" x14ac:dyDescent="0.25">
      <c r="B153" s="530" t="s">
        <v>1041</v>
      </c>
    </row>
    <row r="154" spans="1:12" x14ac:dyDescent="0.25">
      <c r="B154" s="530" t="s">
        <v>720</v>
      </c>
    </row>
    <row r="155" spans="1:12" x14ac:dyDescent="0.25">
      <c r="B155" s="35" t="s">
        <v>931</v>
      </c>
    </row>
    <row r="156" spans="1:12" x14ac:dyDescent="0.25">
      <c r="B156" s="530" t="s">
        <v>721</v>
      </c>
    </row>
    <row r="157" spans="1:12" x14ac:dyDescent="0.25">
      <c r="B157" s="530" t="s">
        <v>992</v>
      </c>
    </row>
    <row r="158" spans="1:12" x14ac:dyDescent="0.25">
      <c r="B158" s="598"/>
      <c r="C158" s="598"/>
      <c r="D158" s="598"/>
      <c r="E158" s="598"/>
      <c r="F158" s="598"/>
      <c r="G158" s="598"/>
      <c r="H158" s="598"/>
      <c r="I158" s="598"/>
      <c r="J158" s="598"/>
      <c r="K158" s="598"/>
      <c r="L158" s="598"/>
    </row>
    <row r="159" spans="1:12" x14ac:dyDescent="0.25">
      <c r="B159" s="1" t="s">
        <v>105</v>
      </c>
      <c r="C159" s="619" t="s">
        <v>10</v>
      </c>
      <c r="D159" s="4"/>
      <c r="E159" s="4"/>
      <c r="F159" s="4"/>
      <c r="G159" s="359"/>
      <c r="H159" s="359"/>
      <c r="I159" s="359"/>
      <c r="J159" s="359"/>
      <c r="K159" s="359"/>
      <c r="L159" s="359"/>
    </row>
  </sheetData>
  <mergeCells count="15">
    <mergeCell ref="B158:L158"/>
    <mergeCell ref="B1:L1"/>
    <mergeCell ref="B2:L2"/>
    <mergeCell ref="C5:C7"/>
    <mergeCell ref="D5:D7"/>
    <mergeCell ref="E5:F5"/>
    <mergeCell ref="G5:I5"/>
    <mergeCell ref="J5:K5"/>
    <mergeCell ref="E6:E7"/>
    <mergeCell ref="F6:F7"/>
    <mergeCell ref="G6:G7"/>
    <mergeCell ref="H6:I6"/>
    <mergeCell ref="J6:J7"/>
    <mergeCell ref="K6:K7"/>
    <mergeCell ref="L6:L7"/>
  </mergeCells>
  <hyperlinks>
    <hyperlink ref="C159" r:id="rId1" xr:uid="{00000000-0004-0000-05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65"/>
  <sheetViews>
    <sheetView zoomScale="85" zoomScaleNormal="85" workbookViewId="0">
      <pane ySplit="6" topLeftCell="A7" activePane="bottomLeft" state="frozen"/>
      <selection pane="bottomLeft" activeCell="F47" sqref="F47"/>
    </sheetView>
  </sheetViews>
  <sheetFormatPr defaultRowHeight="13.2" x14ac:dyDescent="0.25"/>
  <cols>
    <col min="1" max="1" width="18.33203125" style="33" customWidth="1"/>
    <col min="2" max="2" width="14.6640625" style="33" customWidth="1"/>
    <col min="3" max="3" width="17.109375" style="33" customWidth="1"/>
    <col min="4" max="4" width="25.33203125" style="33" customWidth="1"/>
    <col min="5" max="5" width="11.6640625" style="33" bestFit="1" customWidth="1"/>
    <col min="6" max="7" width="11.44140625" style="33" bestFit="1" customWidth="1"/>
    <col min="8" max="8" width="12.88671875" style="33" bestFit="1" customWidth="1"/>
    <col min="9" max="9" width="13.88671875" style="33" bestFit="1" customWidth="1"/>
    <col min="10" max="10" width="11.5546875" style="33" bestFit="1" customWidth="1"/>
    <col min="11" max="11" width="13" style="33" customWidth="1"/>
    <col min="12" max="12" width="23.88671875" style="33" bestFit="1" customWidth="1"/>
    <col min="13" max="13" width="11.44140625" style="33" bestFit="1" customWidth="1"/>
    <col min="14" max="14" width="16" style="33" customWidth="1"/>
    <col min="15" max="16" width="12.33203125" style="33" bestFit="1" customWidth="1"/>
    <col min="17" max="16384" width="8.88671875" style="33"/>
  </cols>
  <sheetData>
    <row r="1" spans="1:16" ht="17.399999999999999" x14ac:dyDescent="0.25">
      <c r="A1" s="588" t="s">
        <v>815</v>
      </c>
      <c r="B1" s="588"/>
      <c r="C1" s="588"/>
      <c r="D1" s="588"/>
      <c r="E1" s="588"/>
      <c r="F1" s="588"/>
      <c r="G1" s="588"/>
      <c r="H1" s="588"/>
      <c r="I1" s="588"/>
      <c r="J1" s="588"/>
      <c r="K1" s="588"/>
      <c r="L1" s="588"/>
      <c r="M1" s="588"/>
      <c r="N1" s="588"/>
      <c r="O1" s="588"/>
      <c r="P1" s="588"/>
    </row>
    <row r="2" spans="1:16" ht="17.399999999999999" x14ac:dyDescent="0.25">
      <c r="A2" s="588">
        <v>2018</v>
      </c>
      <c r="B2" s="588"/>
      <c r="C2" s="588"/>
      <c r="D2" s="588"/>
      <c r="E2" s="588"/>
      <c r="F2" s="588"/>
      <c r="G2" s="588"/>
      <c r="H2" s="588"/>
      <c r="I2" s="588"/>
      <c r="J2" s="588"/>
      <c r="K2" s="588"/>
      <c r="L2" s="588"/>
      <c r="M2" s="588"/>
      <c r="N2" s="588"/>
      <c r="O2" s="588"/>
      <c r="P2" s="588"/>
    </row>
    <row r="4" spans="1:16" x14ac:dyDescent="0.25">
      <c r="B4" s="596" t="s">
        <v>478</v>
      </c>
      <c r="C4" s="609" t="s">
        <v>630</v>
      </c>
      <c r="D4" s="603" t="s">
        <v>631</v>
      </c>
      <c r="E4" s="629" t="s">
        <v>632</v>
      </c>
      <c r="F4" s="630"/>
      <c r="G4" s="630"/>
      <c r="H4" s="630"/>
      <c r="I4" s="630"/>
      <c r="J4" s="631"/>
      <c r="K4" s="632" t="s">
        <v>649</v>
      </c>
      <c r="L4" s="633"/>
      <c r="M4" s="633"/>
      <c r="N4" s="633"/>
      <c r="O4" s="633"/>
      <c r="P4" s="634"/>
    </row>
    <row r="5" spans="1:16" ht="66" customHeight="1" x14ac:dyDescent="0.25">
      <c r="B5" s="597"/>
      <c r="C5" s="635"/>
      <c r="D5" s="604"/>
      <c r="E5" s="529" t="s">
        <v>633</v>
      </c>
      <c r="F5" s="292" t="s">
        <v>634</v>
      </c>
      <c r="G5" s="292" t="s">
        <v>635</v>
      </c>
      <c r="H5" s="292" t="s">
        <v>636</v>
      </c>
      <c r="I5" s="292" t="s">
        <v>637</v>
      </c>
      <c r="J5" s="293" t="s">
        <v>638</v>
      </c>
      <c r="K5" s="292" t="s">
        <v>650</v>
      </c>
      <c r="L5" s="292" t="s">
        <v>639</v>
      </c>
      <c r="M5" s="292" t="s">
        <v>640</v>
      </c>
      <c r="N5" s="292" t="s">
        <v>641</v>
      </c>
      <c r="O5" s="292" t="s">
        <v>651</v>
      </c>
      <c r="P5" s="293" t="s">
        <v>652</v>
      </c>
    </row>
    <row r="6" spans="1:16" hidden="1" x14ac:dyDescent="0.25">
      <c r="B6" s="181" t="s">
        <v>45</v>
      </c>
      <c r="C6" s="182" t="s">
        <v>46</v>
      </c>
      <c r="D6" s="183" t="s">
        <v>47</v>
      </c>
      <c r="E6" s="181" t="s">
        <v>48</v>
      </c>
      <c r="F6" s="182" t="s">
        <v>49</v>
      </c>
      <c r="G6" s="182" t="s">
        <v>50</v>
      </c>
      <c r="H6" s="182" t="s">
        <v>51</v>
      </c>
      <c r="I6" s="182" t="s">
        <v>52</v>
      </c>
      <c r="J6" s="183" t="s">
        <v>53</v>
      </c>
      <c r="K6" s="182" t="s">
        <v>54</v>
      </c>
      <c r="L6" s="182" t="s">
        <v>55</v>
      </c>
      <c r="M6" s="182" t="s">
        <v>56</v>
      </c>
      <c r="N6" s="182" t="s">
        <v>57</v>
      </c>
      <c r="O6" s="182" t="s">
        <v>58</v>
      </c>
      <c r="P6" s="183" t="s">
        <v>642</v>
      </c>
    </row>
    <row r="7" spans="1:16" x14ac:dyDescent="0.25">
      <c r="A7" s="294" t="s">
        <v>59</v>
      </c>
      <c r="B7" s="181"/>
      <c r="C7" s="182"/>
      <c r="D7" s="182"/>
      <c r="E7" s="181"/>
      <c r="F7" s="182"/>
      <c r="G7" s="182"/>
      <c r="H7" s="182"/>
      <c r="I7" s="182"/>
      <c r="J7" s="182"/>
      <c r="K7" s="181"/>
      <c r="L7" s="182"/>
      <c r="M7" s="182"/>
      <c r="N7" s="182"/>
      <c r="O7" s="182"/>
      <c r="P7" s="183"/>
    </row>
    <row r="8" spans="1:16" ht="148.19999999999999" x14ac:dyDescent="0.25">
      <c r="A8" s="204" t="s">
        <v>60</v>
      </c>
      <c r="B8" s="198" t="s">
        <v>870</v>
      </c>
      <c r="C8" s="295" t="s">
        <v>697</v>
      </c>
      <c r="D8" s="295" t="s">
        <v>1325</v>
      </c>
      <c r="E8" s="198" t="s">
        <v>1345</v>
      </c>
      <c r="F8" s="295" t="s">
        <v>145</v>
      </c>
      <c r="G8" s="295" t="s">
        <v>145</v>
      </c>
      <c r="H8" s="295" t="s">
        <v>1354</v>
      </c>
      <c r="I8" s="295" t="s">
        <v>320</v>
      </c>
      <c r="J8" s="295" t="s">
        <v>145</v>
      </c>
      <c r="K8" s="198" t="s">
        <v>1369</v>
      </c>
      <c r="L8" s="295" t="str">
        <f>"EUR 950/month ("&amp;TEXT(100*950*12/'Average wages'!B5,0)&amp;"% of AW)"</f>
        <v>EUR 950/month (24% of AW)</v>
      </c>
      <c r="M8" s="295" t="s">
        <v>109</v>
      </c>
      <c r="N8" s="326">
        <v>1</v>
      </c>
      <c r="O8" s="330">
        <v>0</v>
      </c>
      <c r="P8" s="296" t="s">
        <v>871</v>
      </c>
    </row>
    <row r="9" spans="1:16" ht="45.6" x14ac:dyDescent="0.25">
      <c r="A9" s="297" t="s">
        <v>307</v>
      </c>
      <c r="B9" s="298" t="s">
        <v>522</v>
      </c>
      <c r="C9" s="299" t="s">
        <v>697</v>
      </c>
      <c r="D9" s="299" t="s">
        <v>1326</v>
      </c>
      <c r="E9" s="298" t="s">
        <v>1345</v>
      </c>
      <c r="F9" s="299" t="s">
        <v>320</v>
      </c>
      <c r="G9" s="299" t="s">
        <v>145</v>
      </c>
      <c r="H9" s="299" t="s">
        <v>1355</v>
      </c>
      <c r="I9" s="299" t="s">
        <v>320</v>
      </c>
      <c r="J9" s="299" t="s">
        <v>145</v>
      </c>
      <c r="K9" s="298" t="s">
        <v>109</v>
      </c>
      <c r="L9" s="299" t="str">
        <f>"EUR 1,013.64 ("&amp;TEXT(1013.64/'Average wages'!B6,"0%")&amp;" of AW)"</f>
        <v>EUR 1,013.64 (2% of AW)</v>
      </c>
      <c r="M9" s="299" t="s">
        <v>109</v>
      </c>
      <c r="N9" s="299" t="s">
        <v>109</v>
      </c>
      <c r="O9" s="331" t="s">
        <v>657</v>
      </c>
      <c r="P9" s="332" t="s">
        <v>657</v>
      </c>
    </row>
    <row r="10" spans="1:16" ht="91.2" x14ac:dyDescent="0.25">
      <c r="A10" s="203"/>
      <c r="B10" s="301" t="s">
        <v>684</v>
      </c>
      <c r="C10" s="302" t="s">
        <v>1319</v>
      </c>
      <c r="D10" s="302" t="s">
        <v>1327</v>
      </c>
      <c r="E10" s="301" t="s">
        <v>145</v>
      </c>
      <c r="F10" s="302" t="s">
        <v>145</v>
      </c>
      <c r="G10" s="302" t="s">
        <v>145</v>
      </c>
      <c r="H10" s="302" t="s">
        <v>145</v>
      </c>
      <c r="I10" s="302" t="s">
        <v>145</v>
      </c>
      <c r="J10" s="302" t="s">
        <v>145</v>
      </c>
      <c r="K10" s="301" t="s">
        <v>658</v>
      </c>
      <c r="L10" s="302" t="str">
        <f>"EUR 2561.76 ("&amp;TEXT(2561.76/'Average wages'!B6,"0%")&amp;" of AW)"</f>
        <v>EUR 2561.76 (5% of AW)</v>
      </c>
      <c r="M10" s="347" t="s">
        <v>109</v>
      </c>
      <c r="N10" s="478">
        <v>0.2369</v>
      </c>
      <c r="O10" s="333">
        <f>19313.64/'Average wages'!B6</f>
        <v>0.39882889107479574</v>
      </c>
      <c r="P10" s="334">
        <f>30125.64/'Average wages'!B6</f>
        <v>0.62209793669751068</v>
      </c>
    </row>
    <row r="11" spans="1:16" ht="45.6" x14ac:dyDescent="0.25">
      <c r="A11" s="297" t="s">
        <v>62</v>
      </c>
      <c r="B11" s="298" t="s">
        <v>525</v>
      </c>
      <c r="C11" s="299" t="s">
        <v>524</v>
      </c>
      <c r="D11" s="299" t="s">
        <v>902</v>
      </c>
      <c r="E11" s="298" t="s">
        <v>145</v>
      </c>
      <c r="F11" s="299" t="s">
        <v>145</v>
      </c>
      <c r="G11" s="299" t="s">
        <v>145</v>
      </c>
      <c r="H11" s="299" t="s">
        <v>145</v>
      </c>
      <c r="I11" s="299" t="s">
        <v>145</v>
      </c>
      <c r="J11" s="299" t="s">
        <v>1364</v>
      </c>
      <c r="K11" s="298" t="s">
        <v>685</v>
      </c>
      <c r="L11" s="299" t="str">
        <f>"CAD 1,043 ("&amp;TEXT(1043/'Average wages'!B7,"0%")&amp;" of AW) for singles;
CAD1894 ("&amp;TEXT(1894/'Average wages'!B7,"0%")&amp;" of AW) for couples and lone parents"</f>
        <v>CAD 1,043 (2% of AW) for singles;
CAD1894 (4% of AW) for couples and lone parents</v>
      </c>
      <c r="M11" s="134">
        <v>0.25</v>
      </c>
      <c r="N11" s="134">
        <v>0.15</v>
      </c>
      <c r="O11" s="331">
        <f>11838/'Average wages'!B7</f>
        <v>0.22132523471855944</v>
      </c>
      <c r="P11" s="325">
        <f>16348/'Average wages'!B7</f>
        <v>0.3056449516116751</v>
      </c>
    </row>
    <row r="12" spans="1:16" ht="57" x14ac:dyDescent="0.25">
      <c r="A12" s="303"/>
      <c r="B12" s="323" t="s">
        <v>659</v>
      </c>
      <c r="C12" s="305" t="s">
        <v>660</v>
      </c>
      <c r="D12" s="305" t="s">
        <v>1328</v>
      </c>
      <c r="E12" s="304" t="s">
        <v>661</v>
      </c>
      <c r="F12" s="305" t="s">
        <v>145</v>
      </c>
      <c r="G12" s="305" t="s">
        <v>145</v>
      </c>
      <c r="H12" s="305" t="s">
        <v>145</v>
      </c>
      <c r="I12" s="305" t="s">
        <v>320</v>
      </c>
      <c r="J12" s="305" t="s">
        <v>145</v>
      </c>
      <c r="K12" s="304" t="s">
        <v>109</v>
      </c>
      <c r="L12" s="305" t="str">
        <f>"CAD 253 ("&amp;TEXT(253/'Average wages'!B7,"0.0%")&amp;" of AW)"</f>
        <v>CAD 253 (0.5% of AW)</v>
      </c>
      <c r="M12" s="335" t="s">
        <v>109</v>
      </c>
      <c r="N12" s="335" t="s">
        <v>109</v>
      </c>
      <c r="O12" s="335" t="s">
        <v>109</v>
      </c>
      <c r="P12" s="336" t="s">
        <v>109</v>
      </c>
    </row>
    <row r="13" spans="1:16" ht="45.6" x14ac:dyDescent="0.25">
      <c r="A13" s="297" t="s">
        <v>63</v>
      </c>
      <c r="B13" s="298" t="s">
        <v>686</v>
      </c>
      <c r="C13" s="299" t="s">
        <v>660</v>
      </c>
      <c r="D13" s="299" t="s">
        <v>1329</v>
      </c>
      <c r="E13" s="298" t="s">
        <v>1350</v>
      </c>
      <c r="F13" s="299" t="s">
        <v>145</v>
      </c>
      <c r="G13" s="299" t="s">
        <v>145</v>
      </c>
      <c r="H13" s="299" t="s">
        <v>145</v>
      </c>
      <c r="I13" s="299" t="s">
        <v>145</v>
      </c>
      <c r="J13" s="299" t="s">
        <v>145</v>
      </c>
      <c r="K13" s="298" t="s">
        <v>681</v>
      </c>
      <c r="L13" s="299" t="str">
        <f>"CLP 34,795 ("&amp;TEXT(34795/'Average wages'!B8,"0.0%")&amp;" of AW)"</f>
        <v>CLP 34,795 (0.4% of AW)</v>
      </c>
      <c r="M13" s="422">
        <v>0.2</v>
      </c>
      <c r="N13" s="422">
        <v>0.2</v>
      </c>
      <c r="O13" s="331">
        <v>0.39513180493242478</v>
      </c>
      <c r="P13" s="332">
        <v>0.71123652209225363</v>
      </c>
    </row>
    <row r="14" spans="1:16" ht="68.400000000000006" x14ac:dyDescent="0.25">
      <c r="A14" s="310" t="s">
        <v>67</v>
      </c>
      <c r="B14" s="298" t="s">
        <v>912</v>
      </c>
      <c r="C14" s="299" t="s">
        <v>1320</v>
      </c>
      <c r="D14" s="299" t="s">
        <v>1330</v>
      </c>
      <c r="E14" s="298" t="s">
        <v>320</v>
      </c>
      <c r="F14" s="299" t="s">
        <v>145</v>
      </c>
      <c r="G14" s="299" t="s">
        <v>320</v>
      </c>
      <c r="H14" s="299" t="s">
        <v>662</v>
      </c>
      <c r="I14" s="299" t="s">
        <v>320</v>
      </c>
      <c r="J14" s="299" t="s">
        <v>145</v>
      </c>
      <c r="K14" s="342" t="s">
        <v>681</v>
      </c>
      <c r="L14" s="343" t="s">
        <v>1370</v>
      </c>
      <c r="M14" s="343" t="s">
        <v>109</v>
      </c>
      <c r="N14" s="344" t="s">
        <v>687</v>
      </c>
      <c r="O14" s="306">
        <v>0</v>
      </c>
      <c r="P14" s="502" t="s">
        <v>663</v>
      </c>
    </row>
    <row r="15" spans="1:16" ht="22.8" x14ac:dyDescent="0.25">
      <c r="A15" s="311"/>
      <c r="B15" s="304" t="s">
        <v>664</v>
      </c>
      <c r="C15" s="305" t="s">
        <v>567</v>
      </c>
      <c r="D15" s="312" t="s">
        <v>665</v>
      </c>
      <c r="E15" s="304" t="s">
        <v>145</v>
      </c>
      <c r="F15" s="305" t="s">
        <v>145</v>
      </c>
      <c r="G15" s="305" t="s">
        <v>145</v>
      </c>
      <c r="H15" s="305" t="s">
        <v>145</v>
      </c>
      <c r="I15" s="305" t="s">
        <v>145</v>
      </c>
      <c r="J15" s="305" t="str">
        <f>"Yes, "&amp;TEXT(2500/'Average wages'!B12,"0%")&amp;" of AW"</f>
        <v>Yes, 6% of AW</v>
      </c>
      <c r="K15" s="349" t="s">
        <v>681</v>
      </c>
      <c r="L15" s="305" t="str">
        <f>"EUR 1,540 per year ("&amp;TEXT(1540/'Average wages'!B12,"0%")&amp;" of AW)"</f>
        <v>EUR 1,540 per year (4% of AW)</v>
      </c>
      <c r="M15" s="351">
        <v>7.2999999999999995E-2</v>
      </c>
      <c r="N15" s="421">
        <v>1.0999999999999999E-2</v>
      </c>
      <c r="O15" s="306">
        <f>33000/'Average wages'!B12</f>
        <v>0.75147617037478243</v>
      </c>
      <c r="P15" s="307">
        <f>127000/'Average wages'!B12</f>
        <v>2.8920446556847685</v>
      </c>
    </row>
    <row r="16" spans="1:16" ht="88.95" customHeight="1" x14ac:dyDescent="0.25">
      <c r="A16" s="310" t="s">
        <v>68</v>
      </c>
      <c r="B16" s="298" t="s">
        <v>1315</v>
      </c>
      <c r="C16" s="299" t="s">
        <v>660</v>
      </c>
      <c r="D16" s="299" t="s">
        <v>1327</v>
      </c>
      <c r="E16" s="298" t="s">
        <v>145</v>
      </c>
      <c r="F16" s="299" t="s">
        <v>145</v>
      </c>
      <c r="G16" s="299" t="s">
        <v>320</v>
      </c>
      <c r="H16" s="299" t="s">
        <v>698</v>
      </c>
      <c r="I16" s="299" t="s">
        <v>145</v>
      </c>
      <c r="J16" s="299" t="s">
        <v>145</v>
      </c>
      <c r="K16" s="298" t="s">
        <v>683</v>
      </c>
      <c r="L16" s="299" t="str">
        <f>"EUR 1,615 for single ("&amp;TEXT(1615/'Average wages'!B13,"0%")&amp;" of AW)"</f>
        <v>EUR 1,615 for single (4% of AW)</v>
      </c>
      <c r="M16" s="299" t="s">
        <v>109</v>
      </c>
      <c r="N16" s="422">
        <v>0.38</v>
      </c>
      <c r="O16" s="331">
        <v>0</v>
      </c>
      <c r="P16" s="502"/>
    </row>
    <row r="17" spans="1:16" ht="166.5" customHeight="1" x14ac:dyDescent="0.25">
      <c r="A17" s="204" t="s">
        <v>69</v>
      </c>
      <c r="B17" s="198" t="s">
        <v>667</v>
      </c>
      <c r="C17" s="295" t="s">
        <v>1321</v>
      </c>
      <c r="D17" s="295" t="s">
        <v>1327</v>
      </c>
      <c r="E17" s="198" t="s">
        <v>145</v>
      </c>
      <c r="F17" s="295" t="s">
        <v>145</v>
      </c>
      <c r="G17" s="295" t="s">
        <v>145</v>
      </c>
      <c r="H17" s="295" t="s">
        <v>145</v>
      </c>
      <c r="I17" s="295" t="s">
        <v>145</v>
      </c>
      <c r="J17" s="295" t="s">
        <v>356</v>
      </c>
      <c r="K17" s="198" t="s">
        <v>681</v>
      </c>
      <c r="L17" s="295" t="str">
        <f>"Only pension contributions of 3.7% up to EUR5400 ("&amp;TEXT(100*5400/'Average wages'!B14,0)&amp;"% of AW) gross income per year, general contributions are phased in between EUR5400 and EUR10200 ("&amp;TEXT(100*10200/'Average wages'!B14,0)&amp;"% of AW), so-called 'midi job'"</f>
        <v>Only pension contributions of 3.7% up to EUR5400 (11% of AW) gross income per year, general contributions are phased in between EUR5400 and EUR10200 (20% of AW), so-called 'midi job'</v>
      </c>
      <c r="M17" s="295" t="s">
        <v>109</v>
      </c>
      <c r="N17" s="302" t="s">
        <v>1379</v>
      </c>
      <c r="O17" s="330">
        <f>5401/'Average wages'!B14</f>
        <v>0.10698515716108295</v>
      </c>
      <c r="P17" s="340">
        <f>10201/'Average wages'!B14</f>
        <v>0.20206546717278415</v>
      </c>
    </row>
    <row r="18" spans="1:16" ht="79.8" x14ac:dyDescent="0.25">
      <c r="A18" s="310" t="s">
        <v>501</v>
      </c>
      <c r="B18" s="360" t="s">
        <v>933</v>
      </c>
      <c r="C18" s="299" t="s">
        <v>660</v>
      </c>
      <c r="D18" s="299" t="s">
        <v>1332</v>
      </c>
      <c r="E18" s="298" t="s">
        <v>145</v>
      </c>
      <c r="F18" s="299" t="s">
        <v>320</v>
      </c>
      <c r="G18" s="299" t="s">
        <v>320</v>
      </c>
      <c r="H18" s="299" t="s">
        <v>1356</v>
      </c>
      <c r="I18" s="299" t="s">
        <v>145</v>
      </c>
      <c r="J18" s="299" t="s">
        <v>356</v>
      </c>
      <c r="K18" s="298" t="s">
        <v>668</v>
      </c>
      <c r="L18" s="299" t="str">
        <f>"60% of the difference between the weekly family income and a weekly income limit for the family size; income limit varies with family size; minimum supplement: EUR 20 per week ("&amp;TEXT(20*52*100/'Average wages'!B18,0)&amp;"% of AW)"</f>
        <v>60% of the difference between the weekly family income and a weekly income limit for the family size; income limit varies with family size; minimum supplement: EUR 20 per week (2% of AW)</v>
      </c>
      <c r="M18" s="343" t="s">
        <v>109</v>
      </c>
      <c r="N18" s="344">
        <v>0.6</v>
      </c>
      <c r="O18" s="331" t="s">
        <v>688</v>
      </c>
      <c r="P18" s="332" t="str">
        <f>TEXT(28500*100/'Average wages'!B18,0)&amp;"% of AW for a couple with one child."</f>
        <v>61% of AW for a couple with one child.</v>
      </c>
    </row>
    <row r="19" spans="1:16" ht="57" x14ac:dyDescent="0.25">
      <c r="A19" s="202"/>
      <c r="B19" s="460" t="s">
        <v>934</v>
      </c>
      <c r="C19" s="302" t="s">
        <v>697</v>
      </c>
      <c r="D19" s="302" t="s">
        <v>1331</v>
      </c>
      <c r="E19" s="301" t="s">
        <v>320</v>
      </c>
      <c r="F19" s="302" t="s">
        <v>320</v>
      </c>
      <c r="G19" s="302" t="s">
        <v>320</v>
      </c>
      <c r="H19" s="302" t="s">
        <v>145</v>
      </c>
      <c r="I19" s="302" t="s">
        <v>320</v>
      </c>
      <c r="J19" s="302" t="s">
        <v>356</v>
      </c>
      <c r="K19" s="345" t="s">
        <v>109</v>
      </c>
      <c r="L19" s="302" t="str">
        <f>"EUR 29.80 ("&amp;TEXT(29.8*52*100/'Average wages'!B18,0)&amp;"% of AW) per child per week for the first year;
EUR 14.90 ("&amp;TEXT(14.9*52*100/'Average wages'!B18,0)&amp;"% of AW) per child per week for the second year"</f>
        <v>EUR 29.80 (3% of AW) per child per week for the first year;
EUR 14.90 (2% of AW) per child per week for the second year</v>
      </c>
      <c r="M19" s="346" t="s">
        <v>109</v>
      </c>
      <c r="N19" s="347" t="s">
        <v>109</v>
      </c>
      <c r="O19" s="337" t="s">
        <v>109</v>
      </c>
      <c r="P19" s="338" t="s">
        <v>109</v>
      </c>
    </row>
    <row r="20" spans="1:16" ht="44.25" customHeight="1" x14ac:dyDescent="0.25">
      <c r="A20" s="186" t="s">
        <v>502</v>
      </c>
      <c r="B20" s="198" t="s">
        <v>571</v>
      </c>
      <c r="C20" s="295" t="s">
        <v>524</v>
      </c>
      <c r="D20" s="295" t="s">
        <v>1332</v>
      </c>
      <c r="E20" s="198" t="s">
        <v>145</v>
      </c>
      <c r="F20" s="295" t="s">
        <v>320</v>
      </c>
      <c r="G20" s="295" t="s">
        <v>320</v>
      </c>
      <c r="H20" s="295" t="s">
        <v>145</v>
      </c>
      <c r="I20" s="295" t="s">
        <v>145</v>
      </c>
      <c r="J20" s="295" t="s">
        <v>320</v>
      </c>
      <c r="K20" s="198" t="s">
        <v>689</v>
      </c>
      <c r="L20" s="295" t="s">
        <v>1371</v>
      </c>
      <c r="M20" s="295" t="s">
        <v>109</v>
      </c>
      <c r="N20" s="295" t="s">
        <v>109</v>
      </c>
      <c r="O20" s="330">
        <f>1290*12/'Average wages'!B19</f>
        <v>0.101100542075043</v>
      </c>
      <c r="P20" s="340">
        <f>9570*12/'Average wages'!B19</f>
        <v>0.75002495167299343</v>
      </c>
    </row>
    <row r="21" spans="1:16" ht="45.6" x14ac:dyDescent="0.25">
      <c r="A21" s="297" t="s">
        <v>76</v>
      </c>
      <c r="B21" s="298" t="s">
        <v>671</v>
      </c>
      <c r="C21" s="299" t="s">
        <v>671</v>
      </c>
      <c r="D21" s="299" t="s">
        <v>1333</v>
      </c>
      <c r="E21" s="298" t="s">
        <v>320</v>
      </c>
      <c r="F21" s="299" t="s">
        <v>145</v>
      </c>
      <c r="G21" s="299" t="s">
        <v>145</v>
      </c>
      <c r="H21" s="299" t="s">
        <v>1357</v>
      </c>
      <c r="I21" s="299" t="s">
        <v>320</v>
      </c>
      <c r="J21" s="299" t="s">
        <v>145</v>
      </c>
      <c r="K21" s="298" t="s">
        <v>109</v>
      </c>
      <c r="L21" s="299" t="s">
        <v>673</v>
      </c>
      <c r="M21" s="299" t="s">
        <v>109</v>
      </c>
      <c r="N21" s="299" t="s">
        <v>109</v>
      </c>
      <c r="O21" s="344" t="s">
        <v>690</v>
      </c>
      <c r="P21" s="258" t="s">
        <v>690</v>
      </c>
    </row>
    <row r="22" spans="1:16" ht="45.6" x14ac:dyDescent="0.25">
      <c r="A22" s="297" t="s">
        <v>653</v>
      </c>
      <c r="B22" s="298" t="s">
        <v>1316</v>
      </c>
      <c r="C22" s="299" t="s">
        <v>671</v>
      </c>
      <c r="D22" s="299" t="s">
        <v>1334</v>
      </c>
      <c r="E22" s="298" t="s">
        <v>320</v>
      </c>
      <c r="F22" s="299" t="s">
        <v>145</v>
      </c>
      <c r="G22" s="299" t="s">
        <v>145</v>
      </c>
      <c r="H22" s="299" t="s">
        <v>145</v>
      </c>
      <c r="I22" s="299" t="s">
        <v>320</v>
      </c>
      <c r="J22" s="299" t="s">
        <v>145</v>
      </c>
      <c r="K22" s="298" t="s">
        <v>109</v>
      </c>
      <c r="L22" s="299" t="s">
        <v>953</v>
      </c>
      <c r="M22" s="299" t="s">
        <v>109</v>
      </c>
      <c r="N22" s="299" t="s">
        <v>109</v>
      </c>
      <c r="O22" s="300" t="s">
        <v>690</v>
      </c>
      <c r="P22" s="231" t="s">
        <v>690</v>
      </c>
    </row>
    <row r="23" spans="1:16" ht="91.2" x14ac:dyDescent="0.25">
      <c r="A23" s="314"/>
      <c r="B23" s="304" t="s">
        <v>1317</v>
      </c>
      <c r="C23" s="305" t="s">
        <v>591</v>
      </c>
      <c r="D23" s="305" t="s">
        <v>902</v>
      </c>
      <c r="E23" s="304" t="s">
        <v>145</v>
      </c>
      <c r="F23" s="305" t="s">
        <v>145</v>
      </c>
      <c r="G23" s="305" t="s">
        <v>145</v>
      </c>
      <c r="H23" s="305" t="s">
        <v>145</v>
      </c>
      <c r="I23" s="305" t="s">
        <v>145</v>
      </c>
      <c r="J23" s="305" t="s">
        <v>145</v>
      </c>
      <c r="K23" s="304" t="s">
        <v>674</v>
      </c>
      <c r="L23" s="305" t="str">
        <f>"KRW 2.5 million ("&amp;TEXT(2500000/'Average wages'!B22,"0%")&amp;" of AW)"</f>
        <v>KRW 2.5 million (5% of AW)</v>
      </c>
      <c r="M23" s="306" t="s">
        <v>1375</v>
      </c>
      <c r="N23" s="306" t="s">
        <v>1376</v>
      </c>
      <c r="O23" s="504">
        <f>9000000/'Average wages'!B22</f>
        <v>0.19006681028448014</v>
      </c>
      <c r="P23" s="457">
        <f>13000000/'Average wages'!B22</f>
        <v>0.27454094818869351</v>
      </c>
    </row>
    <row r="24" spans="1:16" ht="68.400000000000006" x14ac:dyDescent="0.25">
      <c r="A24" s="314"/>
      <c r="B24" s="52" t="s">
        <v>1242</v>
      </c>
      <c r="C24" s="305" t="s">
        <v>591</v>
      </c>
      <c r="D24" s="305" t="s">
        <v>1335</v>
      </c>
      <c r="E24" s="304" t="s">
        <v>145</v>
      </c>
      <c r="F24" s="305" t="s">
        <v>320</v>
      </c>
      <c r="G24" s="305" t="s">
        <v>320</v>
      </c>
      <c r="H24" s="305" t="s">
        <v>145</v>
      </c>
      <c r="I24" s="305" t="s">
        <v>145</v>
      </c>
      <c r="J24" s="305" t="s">
        <v>145</v>
      </c>
      <c r="K24" s="304" t="s">
        <v>674</v>
      </c>
      <c r="L24" s="305" t="str">
        <f>"KRW 0.5 million per child ("&amp;TEXT(500000/'Average wages'!B22,"0%")&amp;" of AW)"</f>
        <v>KRW 0.5 million per child (1% of AW)</v>
      </c>
      <c r="M24" s="306" t="s">
        <v>109</v>
      </c>
      <c r="N24" s="306">
        <v>0.01</v>
      </c>
      <c r="O24" s="315" t="str">
        <f>TEXT(21000000/'Average wages'!B22,"0%")&amp;" for single-earner households;
"&amp;TEXT(25000000/'Average wages'!B22,"0%")&amp;" for two-earner households"</f>
        <v>44% for single-earner households;
53% for two-earner households</v>
      </c>
      <c r="P24" s="457">
        <f>40000000/'Average wages'!B22</f>
        <v>0.84474137904213387</v>
      </c>
    </row>
    <row r="25" spans="1:16" ht="68.400000000000006" x14ac:dyDescent="0.25">
      <c r="A25" s="353" t="s">
        <v>94</v>
      </c>
      <c r="B25" s="348" t="s">
        <v>899</v>
      </c>
      <c r="C25" s="299" t="s">
        <v>1322</v>
      </c>
      <c r="D25" s="354" t="s">
        <v>1336</v>
      </c>
      <c r="E25" s="348" t="s">
        <v>706</v>
      </c>
      <c r="F25" s="354" t="s">
        <v>145</v>
      </c>
      <c r="G25" s="354" t="s">
        <v>320</v>
      </c>
      <c r="H25" s="354" t="s">
        <v>145</v>
      </c>
      <c r="I25" s="354" t="s">
        <v>320</v>
      </c>
      <c r="J25" s="354" t="s">
        <v>145</v>
      </c>
      <c r="K25" s="348" t="s">
        <v>683</v>
      </c>
      <c r="L25" s="354" t="s">
        <v>1372</v>
      </c>
      <c r="M25" s="354" t="s">
        <v>109</v>
      </c>
      <c r="N25" s="354" t="s">
        <v>109</v>
      </c>
      <c r="O25" s="357" t="s">
        <v>109</v>
      </c>
      <c r="P25" s="358" t="s">
        <v>109</v>
      </c>
    </row>
    <row r="26" spans="1:16" ht="68.400000000000006" x14ac:dyDescent="0.25">
      <c r="A26" s="353" t="s">
        <v>95</v>
      </c>
      <c r="B26" s="348" t="s">
        <v>897</v>
      </c>
      <c r="C26" s="354" t="s">
        <v>671</v>
      </c>
      <c r="D26" s="354" t="s">
        <v>1336</v>
      </c>
      <c r="E26" s="348" t="s">
        <v>898</v>
      </c>
      <c r="F26" s="354" t="s">
        <v>145</v>
      </c>
      <c r="G26" s="354" t="s">
        <v>320</v>
      </c>
      <c r="H26" s="354" t="s">
        <v>145</v>
      </c>
      <c r="I26" s="354" t="s">
        <v>320</v>
      </c>
      <c r="J26" s="354" t="s">
        <v>1365</v>
      </c>
      <c r="K26" s="348" t="s">
        <v>683</v>
      </c>
      <c r="L26" s="354" t="s">
        <v>1373</v>
      </c>
      <c r="M26" s="354" t="s">
        <v>109</v>
      </c>
      <c r="N26" s="354" t="s">
        <v>1382</v>
      </c>
      <c r="O26" s="505">
        <v>0.88</v>
      </c>
      <c r="P26" s="506">
        <v>0.88</v>
      </c>
    </row>
    <row r="27" spans="1:16" ht="96.75" customHeight="1" x14ac:dyDescent="0.25">
      <c r="A27" s="352" t="s">
        <v>79</v>
      </c>
      <c r="B27" s="349" t="s">
        <v>1000</v>
      </c>
      <c r="C27" s="350" t="s">
        <v>1323</v>
      </c>
      <c r="D27" s="503" t="s">
        <v>1337</v>
      </c>
      <c r="E27" s="350" t="s">
        <v>145</v>
      </c>
      <c r="F27" s="350" t="s">
        <v>1352</v>
      </c>
      <c r="G27" s="350" t="s">
        <v>145</v>
      </c>
      <c r="H27" s="350" t="s">
        <v>145</v>
      </c>
      <c r="I27" s="350" t="s">
        <v>145</v>
      </c>
      <c r="J27" s="350" t="str">
        <f>"Yes, "&amp;TEXT(100*4934/'Average wages'!B25,0)&amp;"% of AW"</f>
        <v>Yes, 9% of AW</v>
      </c>
      <c r="K27" s="349" t="s">
        <v>666</v>
      </c>
      <c r="L27" s="350" t="str">
        <f>"EUR 2,801 ("&amp;TEXT(100*2801/'Average wages'!B25,0)&amp;"% of AW)"</f>
        <v>EUR 2,801 (5% of AW)</v>
      </c>
      <c r="M27" s="70">
        <v>0.04</v>
      </c>
      <c r="N27" s="350" t="s">
        <v>109</v>
      </c>
      <c r="O27" s="70" t="s">
        <v>109</v>
      </c>
      <c r="P27" s="75" t="s">
        <v>109</v>
      </c>
    </row>
    <row r="28" spans="1:16" ht="34.200000000000003" x14ac:dyDescent="0.25">
      <c r="A28" s="297" t="s">
        <v>244</v>
      </c>
      <c r="B28" s="360" t="s">
        <v>675</v>
      </c>
      <c r="C28" s="299" t="s">
        <v>524</v>
      </c>
      <c r="D28" s="299" t="s">
        <v>676</v>
      </c>
      <c r="E28" s="298" t="s">
        <v>145</v>
      </c>
      <c r="F28" s="299" t="s">
        <v>145</v>
      </c>
      <c r="G28" s="299" t="s">
        <v>145</v>
      </c>
      <c r="H28" s="299" t="s">
        <v>145</v>
      </c>
      <c r="I28" s="299" t="s">
        <v>145</v>
      </c>
      <c r="J28" s="299" t="s">
        <v>1366</v>
      </c>
      <c r="K28" s="298" t="s">
        <v>669</v>
      </c>
      <c r="L28" s="299" t="str">
        <f>"NZD 520 ("&amp;TEXT(520/'Average wages'!B26,"0%")&amp;" of AW)"</f>
        <v>NZD 520 (1% of AW)</v>
      </c>
      <c r="M28" s="299" t="s">
        <v>109</v>
      </c>
      <c r="N28" s="422">
        <v>0.13</v>
      </c>
      <c r="O28" s="331">
        <v>0.73</v>
      </c>
      <c r="P28" s="339">
        <v>0.8</v>
      </c>
    </row>
    <row r="29" spans="1:16" ht="68.400000000000006" x14ac:dyDescent="0.25">
      <c r="A29" s="314"/>
      <c r="B29" s="323" t="s">
        <v>583</v>
      </c>
      <c r="C29" s="305" t="s">
        <v>567</v>
      </c>
      <c r="D29" s="305" t="s">
        <v>1353</v>
      </c>
      <c r="E29" s="304" t="s">
        <v>145</v>
      </c>
      <c r="F29" s="305" t="s">
        <v>320</v>
      </c>
      <c r="G29" s="305" t="s">
        <v>145</v>
      </c>
      <c r="H29" s="305" t="s">
        <v>1358</v>
      </c>
      <c r="I29" s="305" t="s">
        <v>145</v>
      </c>
      <c r="J29" s="305" t="s">
        <v>145</v>
      </c>
      <c r="K29" s="304" t="s">
        <v>674</v>
      </c>
      <c r="L29" s="305" t="str">
        <f>"Ensures family income of NZD 26,156 ("&amp;TEXT(26156/'Average wages'!B26,"0%")&amp;" of AW) before Family Tax Credit and In-work tax credit"</f>
        <v>Ensures family income of NZD 26,156 (44% of AW) before Family Tax Credit and In-work tax credit</v>
      </c>
      <c r="M29" s="305" t="s">
        <v>109</v>
      </c>
      <c r="N29" s="28">
        <v>1</v>
      </c>
      <c r="O29" s="335" t="s">
        <v>109</v>
      </c>
      <c r="P29" s="336" t="s">
        <v>655</v>
      </c>
    </row>
    <row r="30" spans="1:16" ht="91.2" x14ac:dyDescent="0.25">
      <c r="A30" s="314"/>
      <c r="B30" s="323" t="s">
        <v>585</v>
      </c>
      <c r="C30" s="305" t="s">
        <v>567</v>
      </c>
      <c r="D30" s="305" t="s">
        <v>1353</v>
      </c>
      <c r="E30" s="304" t="s">
        <v>145</v>
      </c>
      <c r="F30" s="305" t="s">
        <v>320</v>
      </c>
      <c r="G30" s="305" t="s">
        <v>145</v>
      </c>
      <c r="H30" s="305" t="str">
        <f>H29</f>
        <v>Yes, at least 20 hours per week for lone parents, combined 30 hours per week for couples</v>
      </c>
      <c r="I30" s="305" t="s">
        <v>145</v>
      </c>
      <c r="J30" s="305" t="s">
        <v>145</v>
      </c>
      <c r="K30" s="304" t="s">
        <v>674</v>
      </c>
      <c r="L30" s="305" t="str">
        <f>"NZD 3,770 ("&amp;TEXT(3770/'Average wages'!B26,"0%")&amp;" of AW)"</f>
        <v>NZD 3,770 (6% of AW)</v>
      </c>
      <c r="M30" s="305" t="s">
        <v>109</v>
      </c>
      <c r="N30" s="327">
        <v>0.22500000000000001</v>
      </c>
      <c r="O30" s="306" t="s">
        <v>691</v>
      </c>
      <c r="P30" s="307" t="s">
        <v>978</v>
      </c>
    </row>
    <row r="31" spans="1:16" ht="57" x14ac:dyDescent="0.25">
      <c r="A31" s="204" t="s">
        <v>80</v>
      </c>
      <c r="B31" s="198" t="s">
        <v>1011</v>
      </c>
      <c r="C31" s="295" t="s">
        <v>660</v>
      </c>
      <c r="D31" s="295" t="s">
        <v>1338</v>
      </c>
      <c r="E31" s="198" t="s">
        <v>145</v>
      </c>
      <c r="F31" s="295" t="s">
        <v>320</v>
      </c>
      <c r="G31" s="295" t="s">
        <v>145</v>
      </c>
      <c r="H31" s="295" t="s">
        <v>1355</v>
      </c>
      <c r="I31" s="295" t="s">
        <v>145</v>
      </c>
      <c r="J31" s="295" t="s">
        <v>145</v>
      </c>
      <c r="K31" s="198" t="s">
        <v>669</v>
      </c>
      <c r="L31" s="295" t="str">
        <f>"NOK 217,987 ("&amp;TEXT(100*217987/'Average wages'!B27,0)&amp;"% of AW)"</f>
        <v>NOK 217,987 (36% of AW)</v>
      </c>
      <c r="M31" s="295" t="s">
        <v>109</v>
      </c>
      <c r="N31" s="326">
        <v>0.45</v>
      </c>
      <c r="O31" s="330">
        <f>48442/'Average wages'!B27</f>
        <v>8.0997922712606307E-2</v>
      </c>
      <c r="P31" s="340">
        <f>((217987+0.45*48441.5)/0.45)/'Average wages'!B27</f>
        <v>0.89096888243168837</v>
      </c>
    </row>
    <row r="32" spans="1:16" ht="136.80000000000001" x14ac:dyDescent="0.25">
      <c r="A32" s="310" t="s">
        <v>82</v>
      </c>
      <c r="B32" s="298" t="s">
        <v>692</v>
      </c>
      <c r="C32" s="299" t="s">
        <v>1320</v>
      </c>
      <c r="D32" s="299" t="s">
        <v>1339</v>
      </c>
      <c r="E32" s="298" t="s">
        <v>1345</v>
      </c>
      <c r="F32" s="299" t="s">
        <v>145</v>
      </c>
      <c r="G32" s="299" t="s">
        <v>145</v>
      </c>
      <c r="H32" s="299" t="s">
        <v>1359</v>
      </c>
      <c r="I32" s="299" t="s">
        <v>320</v>
      </c>
      <c r="J32" s="299" t="s">
        <v>145</v>
      </c>
      <c r="K32" s="298" t="s">
        <v>681</v>
      </c>
      <c r="L32" s="299" t="s">
        <v>1360</v>
      </c>
      <c r="M32" s="299" t="s">
        <v>109</v>
      </c>
      <c r="N32" s="299" t="s">
        <v>805</v>
      </c>
      <c r="O32" s="331">
        <v>0</v>
      </c>
      <c r="P32" s="316" t="s">
        <v>693</v>
      </c>
    </row>
    <row r="33" spans="1:16" ht="57" x14ac:dyDescent="0.25">
      <c r="A33" s="202"/>
      <c r="B33" s="301" t="s">
        <v>694</v>
      </c>
      <c r="C33" s="302" t="s">
        <v>1322</v>
      </c>
      <c r="D33" s="302" t="s">
        <v>1336</v>
      </c>
      <c r="E33" s="301" t="s">
        <v>1345</v>
      </c>
      <c r="F33" s="302" t="s">
        <v>145</v>
      </c>
      <c r="G33" s="302" t="s">
        <v>145</v>
      </c>
      <c r="H33" s="302" t="s">
        <v>145</v>
      </c>
      <c r="I33" s="302" t="s">
        <v>320</v>
      </c>
      <c r="J33" s="302" t="s">
        <v>145</v>
      </c>
      <c r="K33" s="301" t="s">
        <v>689</v>
      </c>
      <c r="L33" s="302" t="s">
        <v>1374</v>
      </c>
      <c r="M33" s="302" t="s">
        <v>109</v>
      </c>
      <c r="N33" s="302" t="s">
        <v>695</v>
      </c>
      <c r="O33" s="337">
        <v>0</v>
      </c>
      <c r="P33" s="324" t="s">
        <v>109</v>
      </c>
    </row>
    <row r="34" spans="1:16" ht="57" x14ac:dyDescent="0.25">
      <c r="A34" s="297" t="s">
        <v>83</v>
      </c>
      <c r="B34" s="298" t="s">
        <v>679</v>
      </c>
      <c r="C34" s="299" t="s">
        <v>524</v>
      </c>
      <c r="D34" s="299" t="s">
        <v>1327</v>
      </c>
      <c r="E34" s="298" t="s">
        <v>145</v>
      </c>
      <c r="F34" s="299" t="s">
        <v>145</v>
      </c>
      <c r="G34" s="299" t="s">
        <v>145</v>
      </c>
      <c r="H34" s="299" t="s">
        <v>145</v>
      </c>
      <c r="I34" s="299" t="s">
        <v>145</v>
      </c>
      <c r="J34" s="409" t="str">
        <f>"Yes, six times the monthly minimum wage ("&amp;TEXT(480*6/'Average wages'!B30,"0%")&amp;" of AW)"</f>
        <v>Yes, six times the monthly minimum wage (24% of AW)</v>
      </c>
      <c r="K34" s="298" t="s">
        <v>681</v>
      </c>
      <c r="L34" s="299" t="s">
        <v>811</v>
      </c>
      <c r="M34" s="299" t="s">
        <v>109</v>
      </c>
      <c r="N34" s="422">
        <v>0.19</v>
      </c>
      <c r="O34" s="300">
        <f>480*12/'Average wages'!B30</f>
        <v>0.48145526834263969</v>
      </c>
      <c r="P34" s="339">
        <f>480*12/'Average wages'!B30</f>
        <v>0.48145526834263969</v>
      </c>
    </row>
    <row r="35" spans="1:16" ht="57" x14ac:dyDescent="0.25">
      <c r="A35" s="314"/>
      <c r="B35" s="304" t="s">
        <v>575</v>
      </c>
      <c r="C35" s="305" t="s">
        <v>591</v>
      </c>
      <c r="D35" s="305" t="s">
        <v>670</v>
      </c>
      <c r="E35" s="304" t="s">
        <v>145</v>
      </c>
      <c r="F35" s="305" t="s">
        <v>320</v>
      </c>
      <c r="G35" s="305" t="s">
        <v>320</v>
      </c>
      <c r="H35" s="305" t="s">
        <v>145</v>
      </c>
      <c r="I35" s="305" t="s">
        <v>145</v>
      </c>
      <c r="J35" s="409" t="str">
        <f>J34</f>
        <v>Yes, six times the monthly minimum wage (24% of AW)</v>
      </c>
      <c r="K35" s="304" t="s">
        <v>696</v>
      </c>
      <c r="L35" s="305" t="str">
        <f>"EUR 21.56/month ("&amp;TEXT(100*21.56*12/'Average wages'!B30,0)&amp;"% of AW)"</f>
        <v>EUR 21.56/month (2% of AW)</v>
      </c>
      <c r="M35" s="305" t="s">
        <v>109</v>
      </c>
      <c r="N35" s="28" t="s">
        <v>109</v>
      </c>
      <c r="O35" s="335" t="s">
        <v>109</v>
      </c>
      <c r="P35" s="336" t="s">
        <v>109</v>
      </c>
    </row>
    <row r="36" spans="1:16" ht="45.6" x14ac:dyDescent="0.25">
      <c r="A36" s="314"/>
      <c r="B36" s="304" t="s">
        <v>1342</v>
      </c>
      <c r="C36" s="305" t="s">
        <v>1341</v>
      </c>
      <c r="D36" s="305" t="s">
        <v>1340</v>
      </c>
      <c r="E36" s="304" t="s">
        <v>145</v>
      </c>
      <c r="F36" s="305" t="s">
        <v>145</v>
      </c>
      <c r="G36" s="305" t="s">
        <v>145</v>
      </c>
      <c r="H36" s="305" t="s">
        <v>698</v>
      </c>
      <c r="I36" s="305" t="s">
        <v>320</v>
      </c>
      <c r="J36" s="305" t="str">
        <f>"Yes, minimum wage ("&amp;TEXT(100*480*12/'Average wages'!B30,0)&amp;"% of AW)"</f>
        <v>Yes, minimum wage (48% of AW)</v>
      </c>
      <c r="K36" s="304" t="s">
        <v>685</v>
      </c>
      <c r="L36" s="421" t="str">
        <f>"EUR 63.07 per month ("&amp;TEXT(100*63.07*12/'Average wages'!B30,0)&amp;"% of AW)"</f>
        <v>EUR 63.07 per month (6% of AW)</v>
      </c>
      <c r="M36" s="305" t="s">
        <v>109</v>
      </c>
      <c r="N36" s="408">
        <v>0.75</v>
      </c>
      <c r="O36" s="335">
        <v>0</v>
      </c>
      <c r="P36" s="336" t="s">
        <v>109</v>
      </c>
    </row>
    <row r="37" spans="1:16" ht="45.6" x14ac:dyDescent="0.25">
      <c r="A37" s="314"/>
      <c r="B37" s="304" t="s">
        <v>1343</v>
      </c>
      <c r="C37" s="305" t="s">
        <v>1322</v>
      </c>
      <c r="D37" s="305" t="s">
        <v>1336</v>
      </c>
      <c r="E37" s="304" t="s">
        <v>1345</v>
      </c>
      <c r="F37" s="305" t="s">
        <v>145</v>
      </c>
      <c r="G37" s="305" t="s">
        <v>145</v>
      </c>
      <c r="H37" s="305" t="s">
        <v>698</v>
      </c>
      <c r="I37" s="305" t="s">
        <v>320</v>
      </c>
      <c r="J37" s="305" t="str">
        <f>J36</f>
        <v>Yes, minimum wage (48% of AW)</v>
      </c>
      <c r="K37" s="304" t="s">
        <v>681</v>
      </c>
      <c r="L37" s="421" t="str">
        <f>"EUR 126.14 per month ("&amp;TEXT(126.14*12/'Average wages'!B30,"0%")&amp;" of AW) for first six months
EUR 63.07 per month ("&amp;TEXT(100*63.07*12/'Average wages'!B30,0)&amp;"% of AW) for next six months"</f>
        <v>EUR 126.14 per month (13% of AW) for first six months
EUR 63.07 per month (6% of AW) for next six months</v>
      </c>
      <c r="M37" s="305" t="s">
        <v>109</v>
      </c>
      <c r="N37" s="408" t="s">
        <v>1344</v>
      </c>
      <c r="O37" s="335">
        <f>480*2*12/'Average wages'!B30</f>
        <v>0.96291053668527937</v>
      </c>
      <c r="P37" s="336">
        <f>O37</f>
        <v>0.96291053668527937</v>
      </c>
    </row>
    <row r="38" spans="1:16" ht="79.8" x14ac:dyDescent="0.25">
      <c r="A38" s="203"/>
      <c r="B38" s="301" t="s">
        <v>699</v>
      </c>
      <c r="C38" s="302" t="s">
        <v>671</v>
      </c>
      <c r="D38" s="302" t="s">
        <v>672</v>
      </c>
      <c r="E38" s="301" t="s">
        <v>320</v>
      </c>
      <c r="F38" s="302" t="s">
        <v>145</v>
      </c>
      <c r="G38" s="302" t="s">
        <v>145</v>
      </c>
      <c r="H38" s="302" t="s">
        <v>698</v>
      </c>
      <c r="I38" s="302" t="s">
        <v>320</v>
      </c>
      <c r="J38" s="302" t="s">
        <v>145</v>
      </c>
      <c r="K38" s="301" t="s">
        <v>367</v>
      </c>
      <c r="L38" s="302" t="s">
        <v>700</v>
      </c>
      <c r="M38" s="302" t="s">
        <v>109</v>
      </c>
      <c r="N38" s="83" t="s">
        <v>109</v>
      </c>
      <c r="O38" s="308" t="s">
        <v>109</v>
      </c>
      <c r="P38" s="309" t="s">
        <v>109</v>
      </c>
    </row>
    <row r="39" spans="1:16" ht="205.2" x14ac:dyDescent="0.25">
      <c r="A39" s="297" t="s">
        <v>84</v>
      </c>
      <c r="B39" s="301" t="s">
        <v>701</v>
      </c>
      <c r="C39" s="302" t="s">
        <v>1324</v>
      </c>
      <c r="D39" s="302" t="s">
        <v>1340</v>
      </c>
      <c r="E39" s="301" t="s">
        <v>145</v>
      </c>
      <c r="F39" s="302" t="s">
        <v>145</v>
      </c>
      <c r="G39" s="302" t="s">
        <v>145</v>
      </c>
      <c r="H39" s="328" t="s">
        <v>1361</v>
      </c>
      <c r="I39" s="302" t="s">
        <v>145</v>
      </c>
      <c r="J39" s="302" t="s">
        <v>145</v>
      </c>
      <c r="K39" s="301" t="s">
        <v>685</v>
      </c>
      <c r="L39" s="302" t="str">
        <f>"First adult: EUR 83.81 per month ("&amp;TEXT(100*83.81*12/'Average wages'!B31,0)&amp;"% of AW) if working 60-128 hours per month, EUR 166.62 per month ("&amp;TEXT(100*166.62*12/'Average wages'!B31,0)&amp;"% of AW) if working more than 128 hours per month.
Second adult: EUR 41.66 per month ("&amp;TEXT(100*41.66*12/'Average wages'!B31,0)&amp;"% of AW) if working 60-128 hours per month, EUR 83.81 per month ("&amp;TEXT(100*83.81*12/'Average wages'!B31,0)&amp;"% of AW) if working more than 128 hours per month."</f>
        <v>First adult: EUR 83.81 per month (5% of AW) if working 60-128 hours per month, EUR 166.62 per month (10% of AW) if working more than 128 hours per month.
Second adult: EUR 41.66 per month (3% of AW) if working 60-128 hours per month, EUR 83.81 per month (5% of AW) if working more than 128 hours per month.</v>
      </c>
      <c r="M39" s="302" t="s">
        <v>109</v>
      </c>
      <c r="N39" s="329">
        <v>1</v>
      </c>
      <c r="O39" s="337">
        <v>0</v>
      </c>
      <c r="P39" s="309">
        <f>5866/'Average wages'!B31</f>
        <v>0.29730894841084621</v>
      </c>
    </row>
    <row r="40" spans="1:16" ht="45.6" x14ac:dyDescent="0.25">
      <c r="A40" s="353" t="s">
        <v>86</v>
      </c>
      <c r="B40" s="348" t="s">
        <v>664</v>
      </c>
      <c r="C40" s="354" t="s">
        <v>524</v>
      </c>
      <c r="D40" s="354" t="s">
        <v>665</v>
      </c>
      <c r="E40" s="348" t="s">
        <v>145</v>
      </c>
      <c r="F40" s="354" t="s">
        <v>145</v>
      </c>
      <c r="G40" s="354" t="s">
        <v>145</v>
      </c>
      <c r="H40" s="354" t="s">
        <v>145</v>
      </c>
      <c r="I40" s="354" t="s">
        <v>145</v>
      </c>
      <c r="J40" s="354" t="s">
        <v>145</v>
      </c>
      <c r="K40" s="348" t="s">
        <v>681</v>
      </c>
      <c r="L40" s="354" t="str">
        <f>"Depends on local tax rate, at average local tax rate approximately SEK 27,190 ("&amp;TEXT(27190/'Average wages'!B33,"0%")&amp;" of AW)"</f>
        <v>Depends on local tax rate, at average local tax rate approximately SEK 27,190 (6% of AW)</v>
      </c>
      <c r="M40" s="354" t="s">
        <v>970</v>
      </c>
      <c r="N40" s="64">
        <v>0.03</v>
      </c>
      <c r="O40" s="64">
        <f>616070/'Average wages'!B33</f>
        <v>1.3703770860979221</v>
      </c>
      <c r="P40" s="510">
        <f>1522416.1/'Average wages'!B33</f>
        <v>3.3864400781511237</v>
      </c>
    </row>
    <row r="41" spans="1:16" ht="79.8" x14ac:dyDescent="0.25">
      <c r="A41" s="297" t="s">
        <v>87</v>
      </c>
      <c r="B41" s="301" t="s">
        <v>680</v>
      </c>
      <c r="C41" s="302" t="s">
        <v>578</v>
      </c>
      <c r="D41" s="302" t="s">
        <v>665</v>
      </c>
      <c r="E41" s="301" t="s">
        <v>145</v>
      </c>
      <c r="F41" s="302" t="s">
        <v>145</v>
      </c>
      <c r="G41" s="302" t="s">
        <v>145</v>
      </c>
      <c r="H41" s="302" t="s">
        <v>145</v>
      </c>
      <c r="I41" s="302" t="s">
        <v>145</v>
      </c>
      <c r="J41" s="302" t="s">
        <v>145</v>
      </c>
      <c r="K41" s="301" t="s">
        <v>682</v>
      </c>
      <c r="L41" s="302" t="str">
        <f>"CHF 4,000 ("&amp;TEXT(4000/'Average wages'!B34,"0%")&amp;" of AW)"</f>
        <v>CHF 4,000 (5% of AW)</v>
      </c>
      <c r="M41" s="329">
        <v>0.03</v>
      </c>
      <c r="N41" s="302" t="s">
        <v>109</v>
      </c>
      <c r="O41" s="308" t="str">
        <f>"Maximum tax allowance reached at approximately "&amp;TEXT(144933/'Average wages'!B34,"0%")&amp;" of AW, no phase-out"</f>
        <v>Maximum tax allowance reached at approximately 166% of AW, no phase-out</v>
      </c>
      <c r="P41" s="309" t="s">
        <v>109</v>
      </c>
    </row>
    <row r="42" spans="1:16" ht="210" customHeight="1" x14ac:dyDescent="0.25">
      <c r="A42" s="342" t="s">
        <v>317</v>
      </c>
      <c r="B42" s="361" t="s">
        <v>678</v>
      </c>
      <c r="C42" s="350" t="s">
        <v>660</v>
      </c>
      <c r="D42" s="350" t="s">
        <v>902</v>
      </c>
      <c r="E42" s="349" t="s">
        <v>145</v>
      </c>
      <c r="F42" s="350" t="s">
        <v>145</v>
      </c>
      <c r="G42" s="350" t="s">
        <v>145</v>
      </c>
      <c r="H42" s="350" t="s">
        <v>1362</v>
      </c>
      <c r="I42" s="350" t="s">
        <v>145</v>
      </c>
      <c r="J42" s="350" t="s">
        <v>145</v>
      </c>
      <c r="K42" s="349" t="s">
        <v>677</v>
      </c>
      <c r="L42" s="350" t="str">
        <f>"GBP 4,780 ("&amp;TEXT(4780*100/'Average wages'!B36,0)&amp;"% of AW)"</f>
        <v>GBP 4,780 (12% of AW)</v>
      </c>
      <c r="M42" s="351" t="s">
        <v>109</v>
      </c>
      <c r="N42" s="70">
        <v>0.41</v>
      </c>
      <c r="O42" s="356">
        <f>6420/'Average wages'!B36</f>
        <v>0.16356449251206079</v>
      </c>
      <c r="P42" s="457">
        <f>13176/'Average wages'!B36</f>
        <v>0.3356893696789584</v>
      </c>
    </row>
    <row r="43" spans="1:16" ht="91.2" x14ac:dyDescent="0.25">
      <c r="A43" s="298" t="s">
        <v>656</v>
      </c>
      <c r="B43" s="198" t="s">
        <v>702</v>
      </c>
      <c r="C43" s="295" t="s">
        <v>524</v>
      </c>
      <c r="D43" s="295" t="s">
        <v>1346</v>
      </c>
      <c r="E43" s="198" t="s">
        <v>145</v>
      </c>
      <c r="F43" s="295" t="s">
        <v>145</v>
      </c>
      <c r="G43" s="295" t="s">
        <v>320</v>
      </c>
      <c r="H43" s="295" t="s">
        <v>145</v>
      </c>
      <c r="I43" s="295" t="s">
        <v>145</v>
      </c>
      <c r="J43" s="295" t="s">
        <v>145</v>
      </c>
      <c r="K43" s="198" t="s">
        <v>689</v>
      </c>
      <c r="L43" s="295" t="str">
        <f>"USD 519 ("&amp;TEXT(100*519/'Average wages'!B37,0)&amp;"% of AW) without children;
USD 3,461 ("&amp;TEXT(100*3461/'Average wages'!B37,0)&amp;"% of AW) with one child;
USD 5,716 ("&amp;TEXT(100*5716/'Average wages'!B37,0)&amp;"% of AW) with 2 children;
USD 6,431 ("&amp;TEXT(100*6431/'Average wages'!B37,0)&amp;"% of AW) with 3 or more children"</f>
        <v>USD 519 (1% of AW) without children;
USD 3,461 (6% of AW) with one child;
USD 5,716 (11% of AW) with 2 children;
USD 6,431 (12% of AW) with 3 or more children</v>
      </c>
      <c r="M43" s="295" t="s">
        <v>1381</v>
      </c>
      <c r="N43" s="295" t="s">
        <v>1380</v>
      </c>
      <c r="O43" s="330">
        <f>8491/'Average wages'!B37</f>
        <v>0.15609630607253844</v>
      </c>
      <c r="P43" s="340">
        <f>15270/'Average wages'!B37</f>
        <v>0.28071965536776139</v>
      </c>
    </row>
    <row r="44" spans="1:16" x14ac:dyDescent="0.25">
      <c r="A44" s="298"/>
      <c r="B44" s="298"/>
      <c r="C44" s="299"/>
      <c r="D44" s="299"/>
      <c r="E44" s="298"/>
      <c r="F44" s="299"/>
      <c r="G44" s="299"/>
      <c r="H44" s="299"/>
      <c r="I44" s="299"/>
      <c r="J44" s="299"/>
      <c r="K44" s="298"/>
      <c r="L44" s="299"/>
      <c r="M44" s="299"/>
      <c r="N44" s="299"/>
      <c r="O44" s="331"/>
      <c r="P44" s="339"/>
    </row>
    <row r="45" spans="1:16" ht="24" x14ac:dyDescent="0.25">
      <c r="A45" s="317" t="s">
        <v>91</v>
      </c>
      <c r="B45" s="318"/>
      <c r="C45" s="319"/>
      <c r="D45" s="319"/>
      <c r="E45" s="318"/>
      <c r="F45" s="319"/>
      <c r="G45" s="319"/>
      <c r="H45" s="319"/>
      <c r="I45" s="319"/>
      <c r="J45" s="319"/>
      <c r="K45" s="318"/>
      <c r="L45" s="319"/>
      <c r="M45" s="319"/>
      <c r="N45" s="319"/>
      <c r="O45" s="319"/>
      <c r="P45" s="320"/>
    </row>
    <row r="46" spans="1:16" ht="57" x14ac:dyDescent="0.25">
      <c r="A46" s="353" t="s">
        <v>92</v>
      </c>
      <c r="B46" s="348" t="s">
        <v>671</v>
      </c>
      <c r="C46" s="354" t="s">
        <v>671</v>
      </c>
      <c r="D46" s="354" t="s">
        <v>1347</v>
      </c>
      <c r="E46" s="348" t="s">
        <v>320</v>
      </c>
      <c r="F46" s="354" t="s">
        <v>145</v>
      </c>
      <c r="G46" s="354" t="s">
        <v>145</v>
      </c>
      <c r="H46" s="354" t="s">
        <v>1363</v>
      </c>
      <c r="I46" s="354" t="s">
        <v>320</v>
      </c>
      <c r="J46" s="354" t="s">
        <v>109</v>
      </c>
      <c r="K46" s="348" t="s">
        <v>367</v>
      </c>
      <c r="L46" s="354" t="s">
        <v>703</v>
      </c>
      <c r="M46" s="354" t="s">
        <v>109</v>
      </c>
      <c r="N46" s="354" t="s">
        <v>109</v>
      </c>
      <c r="O46" s="357" t="s">
        <v>109</v>
      </c>
      <c r="P46" s="358" t="s">
        <v>109</v>
      </c>
    </row>
    <row r="47" spans="1:16" ht="114" x14ac:dyDescent="0.25">
      <c r="A47" s="265" t="s">
        <v>255</v>
      </c>
      <c r="B47" s="342" t="s">
        <v>1318</v>
      </c>
      <c r="C47" s="354" t="s">
        <v>660</v>
      </c>
      <c r="D47" s="343" t="s">
        <v>1332</v>
      </c>
      <c r="E47" s="342" t="s">
        <v>145</v>
      </c>
      <c r="F47" s="343" t="s">
        <v>320</v>
      </c>
      <c r="G47" s="343" t="s">
        <v>320</v>
      </c>
      <c r="H47" s="343" t="s">
        <v>145</v>
      </c>
      <c r="I47" s="343" t="s">
        <v>145</v>
      </c>
      <c r="J47" s="343" t="s">
        <v>1367</v>
      </c>
      <c r="K47" s="342" t="s">
        <v>905</v>
      </c>
      <c r="L47" s="343" t="str">
        <f>"EUR 1,250 per child ("&amp;TEXT(1250/'Average wages'!B43,"0%")&amp;" of AW)"</f>
        <v>EUR 1,250 per child (5% of AW)</v>
      </c>
      <c r="M47" s="343" t="s">
        <v>1377</v>
      </c>
      <c r="N47" s="343" t="s">
        <v>1378</v>
      </c>
      <c r="O47" s="344" t="str">
        <f>TEXT(9200/'Average wages'!B43,"0%")&amp;" for lone parents;
"&amp;TEXT(17200/'Average wages'!B43,"0%")&amp;" for two-earner couples;
"&amp;TEXT(9500/'Average wages'!B43,"0%")&amp;" for single-earner couples"</f>
        <v>39% for lone parents;
74% for two-earner couples;
41% for single-earner couples</v>
      </c>
      <c r="P47" s="510" t="str">
        <f>TEXT(16500/'Average wages'!B43,"0%")&amp;" for lone parents and single-earner couples;
"&amp;TEXT(24000/'Average wages'!B43,"0%")&amp;" for two-earner couples"</f>
        <v>71% for lone parents and single-earner couples;
103% for two-earner couples</v>
      </c>
    </row>
    <row r="48" spans="1:16" ht="79.8" x14ac:dyDescent="0.25">
      <c r="A48" s="265" t="s">
        <v>96</v>
      </c>
      <c r="B48" s="342" t="s">
        <v>722</v>
      </c>
      <c r="C48" s="343" t="s">
        <v>671</v>
      </c>
      <c r="D48" s="343" t="s">
        <v>1348</v>
      </c>
      <c r="E48" s="342" t="s">
        <v>320</v>
      </c>
      <c r="F48" s="343" t="s">
        <v>145</v>
      </c>
      <c r="G48" s="343" t="s">
        <v>145</v>
      </c>
      <c r="H48" s="343" t="s">
        <v>698</v>
      </c>
      <c r="I48" s="343" t="s">
        <v>320</v>
      </c>
      <c r="J48" s="343" t="s">
        <v>145</v>
      </c>
      <c r="K48" s="342" t="s">
        <v>367</v>
      </c>
      <c r="L48" s="343" t="s">
        <v>704</v>
      </c>
      <c r="M48" s="343" t="s">
        <v>109</v>
      </c>
      <c r="N48" s="343" t="s">
        <v>109</v>
      </c>
      <c r="O48" s="344" t="s">
        <v>109</v>
      </c>
      <c r="P48" s="258" t="s">
        <v>109</v>
      </c>
    </row>
    <row r="49" spans="1:16" ht="68.400000000000006" x14ac:dyDescent="0.25">
      <c r="A49" s="271"/>
      <c r="B49" s="345" t="s">
        <v>705</v>
      </c>
      <c r="C49" s="346" t="s">
        <v>671</v>
      </c>
      <c r="D49" s="346" t="s">
        <v>1349</v>
      </c>
      <c r="E49" s="345" t="s">
        <v>1351</v>
      </c>
      <c r="F49" s="346" t="s">
        <v>145</v>
      </c>
      <c r="G49" s="346" t="s">
        <v>320</v>
      </c>
      <c r="H49" s="346" t="s">
        <v>145</v>
      </c>
      <c r="I49" s="346" t="s">
        <v>320</v>
      </c>
      <c r="J49" s="346" t="s">
        <v>1368</v>
      </c>
      <c r="K49" s="345" t="s">
        <v>707</v>
      </c>
      <c r="L49" s="346" t="s">
        <v>708</v>
      </c>
      <c r="M49" s="346" t="s">
        <v>109</v>
      </c>
      <c r="N49" s="346" t="s">
        <v>109</v>
      </c>
      <c r="O49" s="347" t="s">
        <v>109</v>
      </c>
      <c r="P49" s="514" t="s">
        <v>109</v>
      </c>
    </row>
    <row r="50" spans="1:16" x14ac:dyDescent="0.25">
      <c r="A50" s="173"/>
      <c r="B50" s="173"/>
      <c r="C50" s="173"/>
      <c r="D50" s="173"/>
      <c r="E50" s="173"/>
      <c r="F50" s="173"/>
      <c r="G50" s="173"/>
      <c r="H50" s="173"/>
      <c r="I50" s="173"/>
      <c r="J50" s="173"/>
      <c r="K50" s="173"/>
      <c r="L50" s="173"/>
      <c r="M50" s="173"/>
      <c r="N50" s="173"/>
      <c r="O50" s="173"/>
      <c r="P50" s="173"/>
    </row>
    <row r="51" spans="1:16" x14ac:dyDescent="0.25">
      <c r="A51" s="321" t="s">
        <v>97</v>
      </c>
      <c r="B51" s="173"/>
      <c r="C51" s="173"/>
      <c r="D51" s="173"/>
      <c r="E51" s="173"/>
      <c r="F51" s="173"/>
      <c r="G51" s="173"/>
      <c r="H51" s="173"/>
      <c r="I51" s="173"/>
      <c r="J51" s="173"/>
      <c r="K51" s="173"/>
      <c r="L51" s="173"/>
      <c r="M51" s="173"/>
      <c r="N51" s="173"/>
      <c r="O51" s="173"/>
      <c r="P51" s="173"/>
    </row>
    <row r="52" spans="1:16" x14ac:dyDescent="0.25">
      <c r="A52" s="173" t="s">
        <v>816</v>
      </c>
      <c r="B52" s="173"/>
      <c r="C52" s="173"/>
      <c r="D52" s="173"/>
      <c r="E52" s="173"/>
      <c r="F52" s="173"/>
      <c r="G52" s="173"/>
      <c r="H52" s="173"/>
      <c r="I52" s="173"/>
      <c r="J52" s="173"/>
      <c r="K52" s="173"/>
      <c r="L52" s="173"/>
      <c r="M52" s="173"/>
      <c r="N52" s="173"/>
      <c r="O52" s="173"/>
      <c r="P52" s="173"/>
    </row>
    <row r="53" spans="1:16" x14ac:dyDescent="0.25">
      <c r="A53" s="173" t="str">
        <f>'Unemployment Insurance'!A53</f>
        <v>1. "n.a." equals not applicable, "..." equals no information available.</v>
      </c>
      <c r="B53" s="173"/>
      <c r="C53" s="173"/>
      <c r="D53" s="173"/>
      <c r="E53" s="173"/>
      <c r="F53" s="173"/>
      <c r="G53" s="173"/>
      <c r="H53" s="173"/>
      <c r="I53" s="173"/>
      <c r="J53" s="173"/>
      <c r="K53" s="173"/>
      <c r="L53" s="173"/>
      <c r="M53" s="173"/>
      <c r="N53" s="173"/>
      <c r="O53" s="173"/>
      <c r="P53" s="173"/>
    </row>
    <row r="54" spans="1:16" x14ac:dyDescent="0.25">
      <c r="A54" s="173" t="s">
        <v>709</v>
      </c>
      <c r="B54" s="322"/>
      <c r="C54" s="322"/>
      <c r="D54" s="173"/>
      <c r="E54" s="173"/>
      <c r="F54" s="173"/>
      <c r="G54" s="173"/>
      <c r="H54" s="173"/>
      <c r="I54" s="173"/>
      <c r="J54" s="173"/>
      <c r="K54" s="173"/>
      <c r="L54" s="173"/>
      <c r="M54" s="173"/>
      <c r="N54" s="173"/>
      <c r="O54" s="173"/>
      <c r="P54" s="173"/>
    </row>
    <row r="55" spans="1:16" x14ac:dyDescent="0.25">
      <c r="A55" s="313" t="s">
        <v>710</v>
      </c>
      <c r="B55" s="322"/>
      <c r="C55" s="322"/>
      <c r="D55" s="173"/>
      <c r="E55" s="173"/>
      <c r="F55" s="173"/>
      <c r="G55" s="173"/>
      <c r="H55" s="173"/>
      <c r="I55" s="173"/>
      <c r="J55" s="173"/>
      <c r="K55" s="173"/>
      <c r="L55" s="173"/>
      <c r="M55" s="173"/>
      <c r="N55" s="173"/>
      <c r="O55" s="173"/>
      <c r="P55" s="173"/>
    </row>
    <row r="56" spans="1:16" x14ac:dyDescent="0.25">
      <c r="A56" s="173" t="s">
        <v>711</v>
      </c>
      <c r="B56" s="322"/>
      <c r="C56" s="322"/>
      <c r="D56" s="173"/>
      <c r="E56" s="173"/>
      <c r="F56" s="173"/>
      <c r="G56" s="173"/>
      <c r="H56" s="173"/>
      <c r="I56" s="173"/>
      <c r="J56" s="173"/>
      <c r="K56" s="173"/>
      <c r="L56" s="173"/>
      <c r="M56" s="173"/>
      <c r="N56" s="173"/>
      <c r="O56" s="173"/>
      <c r="P56" s="173"/>
    </row>
    <row r="57" spans="1:16" x14ac:dyDescent="0.25">
      <c r="A57" s="173" t="s">
        <v>712</v>
      </c>
      <c r="B57" s="322"/>
      <c r="C57" s="322"/>
      <c r="D57" s="173"/>
      <c r="E57" s="173"/>
      <c r="F57" s="173"/>
      <c r="G57" s="173"/>
      <c r="H57" s="173"/>
      <c r="I57" s="173"/>
      <c r="J57" s="173"/>
      <c r="K57" s="173"/>
      <c r="L57" s="173"/>
      <c r="M57" s="173"/>
      <c r="N57" s="173"/>
      <c r="O57" s="173"/>
      <c r="P57" s="173"/>
    </row>
    <row r="58" spans="1:16" x14ac:dyDescent="0.25">
      <c r="A58" s="173" t="s">
        <v>713</v>
      </c>
      <c r="B58" s="322"/>
      <c r="C58" s="322"/>
      <c r="D58" s="173"/>
      <c r="E58" s="173"/>
      <c r="F58" s="173"/>
      <c r="G58" s="173"/>
      <c r="H58" s="173"/>
      <c r="I58" s="173"/>
      <c r="J58" s="173"/>
      <c r="K58" s="173"/>
      <c r="L58" s="173"/>
      <c r="M58" s="173"/>
      <c r="N58" s="173"/>
      <c r="O58" s="173"/>
      <c r="P58" s="173"/>
    </row>
    <row r="59" spans="1:16" x14ac:dyDescent="0.25">
      <c r="A59" s="173" t="s">
        <v>714</v>
      </c>
      <c r="B59" s="322"/>
      <c r="C59" s="322"/>
      <c r="D59" s="173"/>
      <c r="E59" s="173"/>
      <c r="F59" s="173"/>
      <c r="G59" s="173"/>
      <c r="H59" s="173"/>
      <c r="I59" s="173"/>
      <c r="J59" s="173"/>
      <c r="K59" s="173"/>
      <c r="L59" s="173"/>
      <c r="M59" s="173"/>
      <c r="N59" s="173"/>
      <c r="O59" s="173"/>
      <c r="P59" s="173"/>
    </row>
    <row r="60" spans="1:16" x14ac:dyDescent="0.25">
      <c r="A60" s="173" t="s">
        <v>715</v>
      </c>
      <c r="B60" s="322"/>
      <c r="C60" s="322"/>
      <c r="D60" s="173"/>
      <c r="E60" s="173"/>
      <c r="F60" s="173"/>
      <c r="G60" s="173"/>
      <c r="H60" s="173"/>
      <c r="I60" s="173"/>
      <c r="J60" s="173"/>
      <c r="K60" s="173"/>
      <c r="L60" s="173"/>
      <c r="M60" s="173"/>
      <c r="N60" s="173"/>
      <c r="O60" s="173"/>
      <c r="P60" s="173"/>
    </row>
    <row r="61" spans="1:16" x14ac:dyDescent="0.25">
      <c r="A61" s="173" t="s">
        <v>716</v>
      </c>
      <c r="B61" s="322"/>
      <c r="C61" s="322"/>
      <c r="D61" s="173"/>
      <c r="E61" s="173"/>
      <c r="F61" s="173"/>
      <c r="G61" s="173"/>
      <c r="H61" s="173"/>
      <c r="I61" s="173"/>
      <c r="J61" s="173"/>
      <c r="K61" s="173"/>
      <c r="L61" s="173"/>
      <c r="M61" s="173"/>
      <c r="N61" s="173"/>
      <c r="O61" s="173"/>
      <c r="P61" s="173"/>
    </row>
    <row r="62" spans="1:16" x14ac:dyDescent="0.25">
      <c r="A62" s="173" t="s">
        <v>717</v>
      </c>
      <c r="B62" s="322"/>
      <c r="C62" s="322"/>
      <c r="D62" s="173"/>
      <c r="E62" s="173"/>
      <c r="F62" s="173"/>
      <c r="G62" s="173"/>
      <c r="H62" s="173"/>
      <c r="I62" s="173"/>
      <c r="J62" s="173"/>
      <c r="K62" s="173"/>
      <c r="L62" s="173"/>
      <c r="M62" s="173"/>
      <c r="N62" s="173"/>
      <c r="O62" s="173"/>
      <c r="P62" s="173"/>
    </row>
    <row r="63" spans="1:16" x14ac:dyDescent="0.25">
      <c r="A63" s="173" t="s">
        <v>995</v>
      </c>
      <c r="B63" s="322"/>
      <c r="C63" s="322"/>
      <c r="D63" s="173"/>
      <c r="E63" s="173"/>
      <c r="F63" s="173"/>
      <c r="G63" s="173"/>
      <c r="H63" s="173"/>
      <c r="I63" s="173"/>
      <c r="J63" s="173"/>
      <c r="K63" s="173"/>
      <c r="L63" s="173"/>
      <c r="M63" s="173"/>
      <c r="N63" s="173"/>
      <c r="O63" s="173"/>
      <c r="P63" s="173"/>
    </row>
    <row r="64" spans="1:16" x14ac:dyDescent="0.25">
      <c r="A64" s="313"/>
      <c r="B64" s="173"/>
      <c r="C64" s="173"/>
      <c r="D64" s="173"/>
      <c r="E64" s="173"/>
      <c r="F64" s="173"/>
      <c r="G64" s="173"/>
      <c r="H64" s="173"/>
      <c r="I64" s="173"/>
      <c r="J64" s="173"/>
      <c r="K64" s="173"/>
      <c r="L64" s="173"/>
      <c r="M64" s="173"/>
      <c r="N64" s="173"/>
      <c r="O64" s="173"/>
      <c r="P64" s="173"/>
    </row>
    <row r="65" spans="1:16" x14ac:dyDescent="0.25">
      <c r="A65" s="1" t="s">
        <v>105</v>
      </c>
      <c r="B65" s="341" t="s">
        <v>10</v>
      </c>
      <c r="C65" s="173"/>
      <c r="D65" s="173"/>
      <c r="E65" s="173"/>
      <c r="F65" s="173"/>
      <c r="G65" s="173"/>
      <c r="H65" s="173"/>
      <c r="I65" s="173"/>
      <c r="J65" s="173"/>
      <c r="K65" s="173"/>
      <c r="L65" s="173"/>
      <c r="M65" s="173"/>
      <c r="N65" s="173"/>
      <c r="O65" s="173"/>
      <c r="P65" s="173"/>
    </row>
  </sheetData>
  <mergeCells count="7">
    <mergeCell ref="A1:P1"/>
    <mergeCell ref="A2:P2"/>
    <mergeCell ref="B4:B5"/>
    <mergeCell ref="C4:C5"/>
    <mergeCell ref="D4:D5"/>
    <mergeCell ref="E4:J4"/>
    <mergeCell ref="K4:P4"/>
  </mergeCells>
  <hyperlinks>
    <hyperlink ref="B65" r:id="rId1" xr:uid="{00000000-0004-0000-0600-000000000000}"/>
  </hyperlinks>
  <pageMargins left="0.7" right="0.7" top="0.75" bottom="0.75" header="0.3" footer="0.3"/>
  <pageSetup paperSize="9" orientation="portrait" r:id="rId2"/>
  <headerFooter>
    <oddFooter>&amp;C_x000D_&amp;1#&amp;"Calibri"&amp;10&amp;K0000FF Restricted Use - À usage restreint</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68"/>
  <sheetViews>
    <sheetView workbookViewId="0">
      <selection activeCell="G13" sqref="G13"/>
    </sheetView>
  </sheetViews>
  <sheetFormatPr defaultRowHeight="13.2" x14ac:dyDescent="0.25"/>
  <cols>
    <col min="3" max="3" width="13.44140625" customWidth="1"/>
    <col min="4" max="4" width="13.109375" bestFit="1" customWidth="1"/>
    <col min="5" max="5" width="12.88671875" bestFit="1" customWidth="1"/>
    <col min="6" max="6" width="19.5546875" bestFit="1" customWidth="1"/>
    <col min="7" max="7" width="13.33203125" bestFit="1" customWidth="1"/>
    <col min="8" max="8" width="12.88671875" bestFit="1" customWidth="1"/>
  </cols>
  <sheetData>
    <row r="1" spans="1:8" ht="17.399999999999999" x14ac:dyDescent="0.3">
      <c r="A1" s="533" t="s">
        <v>723</v>
      </c>
      <c r="B1" s="533"/>
      <c r="C1" s="533"/>
      <c r="D1" s="533"/>
      <c r="E1" s="533"/>
      <c r="F1" s="533"/>
      <c r="G1" s="533"/>
      <c r="H1" s="533"/>
    </row>
    <row r="2" spans="1:8" ht="17.399999999999999" x14ac:dyDescent="0.3">
      <c r="A2" s="533">
        <v>2018</v>
      </c>
      <c r="B2" s="533"/>
      <c r="C2" s="533"/>
      <c r="D2" s="533"/>
      <c r="E2" s="533"/>
      <c r="F2" s="533"/>
      <c r="G2" s="533"/>
      <c r="H2" s="533"/>
    </row>
    <row r="3" spans="1:8" ht="2.25" hidden="1" customHeight="1" x14ac:dyDescent="0.25">
      <c r="A3" s="6" t="s">
        <v>9</v>
      </c>
      <c r="B3" s="12"/>
      <c r="C3" s="12" t="s">
        <v>466</v>
      </c>
      <c r="D3" s="12" t="s">
        <v>466</v>
      </c>
      <c r="E3" s="12" t="s">
        <v>466</v>
      </c>
      <c r="F3" s="12" t="s">
        <v>466</v>
      </c>
      <c r="G3" s="12" t="s">
        <v>466</v>
      </c>
      <c r="H3" s="12" t="s">
        <v>466</v>
      </c>
    </row>
    <row r="4" spans="1:8" hidden="1" x14ac:dyDescent="0.25">
      <c r="A4" s="106" t="s">
        <v>14</v>
      </c>
      <c r="B4" s="12"/>
      <c r="C4" s="12" t="s">
        <v>724</v>
      </c>
      <c r="D4" s="12" t="s">
        <v>725</v>
      </c>
      <c r="E4" s="12" t="s">
        <v>726</v>
      </c>
      <c r="F4" s="12" t="s">
        <v>727</v>
      </c>
      <c r="G4" s="12" t="s">
        <v>728</v>
      </c>
      <c r="H4" s="12" t="s">
        <v>729</v>
      </c>
    </row>
    <row r="5" spans="1:8" x14ac:dyDescent="0.25">
      <c r="A5" s="1" t="s">
        <v>730</v>
      </c>
      <c r="B5" s="12"/>
      <c r="C5" s="12"/>
      <c r="D5" s="12"/>
      <c r="E5" s="12"/>
      <c r="F5" s="12"/>
      <c r="G5" s="12"/>
      <c r="H5" s="12"/>
    </row>
    <row r="6" spans="1:8" x14ac:dyDescent="0.25">
      <c r="A6" s="362" t="s">
        <v>731</v>
      </c>
      <c r="B6" s="610" t="s">
        <v>732</v>
      </c>
      <c r="C6" s="610"/>
      <c r="D6" s="610"/>
      <c r="E6" s="363" t="s">
        <v>733</v>
      </c>
      <c r="F6" s="611" t="s">
        <v>734</v>
      </c>
      <c r="G6" s="611"/>
      <c r="H6" s="611"/>
    </row>
    <row r="7" spans="1:8" x14ac:dyDescent="0.25">
      <c r="A7" s="362" t="s">
        <v>735</v>
      </c>
      <c r="B7" s="362" t="s">
        <v>736</v>
      </c>
      <c r="C7" s="362"/>
      <c r="D7" s="362"/>
      <c r="E7" s="363"/>
      <c r="F7" s="583" t="s">
        <v>737</v>
      </c>
      <c r="G7" s="583"/>
      <c r="H7" s="583"/>
    </row>
    <row r="8" spans="1:8" x14ac:dyDescent="0.25">
      <c r="A8" s="362" t="s">
        <v>738</v>
      </c>
      <c r="B8" s="610" t="s">
        <v>739</v>
      </c>
      <c r="C8" s="610"/>
      <c r="D8" s="610"/>
      <c r="E8" s="363"/>
      <c r="F8" s="611" t="s">
        <v>740</v>
      </c>
      <c r="G8" s="611"/>
      <c r="H8" s="611"/>
    </row>
    <row r="9" spans="1:8" ht="22.8" x14ac:dyDescent="0.25">
      <c r="A9" s="363" t="s">
        <v>741</v>
      </c>
      <c r="B9" s="611" t="s">
        <v>742</v>
      </c>
      <c r="C9" s="611"/>
      <c r="D9" s="611"/>
      <c r="E9" s="363" t="s">
        <v>743</v>
      </c>
      <c r="F9" s="611" t="s">
        <v>744</v>
      </c>
      <c r="G9" s="611"/>
      <c r="H9" s="611"/>
    </row>
    <row r="10" spans="1:8" x14ac:dyDescent="0.25">
      <c r="A10" s="364" t="s">
        <v>109</v>
      </c>
      <c r="B10" s="362" t="s">
        <v>745</v>
      </c>
      <c r="C10" s="362"/>
      <c r="D10" s="362"/>
      <c r="E10" s="12" t="s">
        <v>746</v>
      </c>
      <c r="F10" s="12" t="s">
        <v>591</v>
      </c>
      <c r="G10" s="12"/>
      <c r="H10" s="12"/>
    </row>
    <row r="11" spans="1:8" x14ac:dyDescent="0.25">
      <c r="A11" s="363" t="s">
        <v>628</v>
      </c>
      <c r="B11" s="12" t="s">
        <v>747</v>
      </c>
      <c r="C11" s="12"/>
      <c r="D11" s="12"/>
      <c r="E11" s="12"/>
      <c r="F11" s="363"/>
      <c r="G11" s="363"/>
      <c r="H11" s="363"/>
    </row>
    <row r="12" spans="1:8" x14ac:dyDescent="0.25">
      <c r="A12" s="363"/>
      <c r="B12" s="613" t="s">
        <v>748</v>
      </c>
      <c r="C12" s="613"/>
      <c r="D12" s="613"/>
      <c r="E12" s="12"/>
      <c r="F12" s="12"/>
      <c r="G12" s="363"/>
      <c r="H12" s="363"/>
    </row>
    <row r="13" spans="1:8" x14ac:dyDescent="0.25">
      <c r="A13" s="104"/>
      <c r="B13" s="104"/>
      <c r="C13" s="104"/>
      <c r="D13" s="104"/>
      <c r="E13" s="104"/>
      <c r="F13" s="104"/>
      <c r="G13" s="104"/>
      <c r="H13" s="104"/>
    </row>
    <row r="14" spans="1:8" x14ac:dyDescent="0.25">
      <c r="A14" s="104"/>
      <c r="B14" s="104"/>
      <c r="C14" s="104"/>
      <c r="D14" s="104"/>
      <c r="E14" s="104"/>
      <c r="F14" s="104"/>
      <c r="G14" s="104"/>
      <c r="H14" s="104"/>
    </row>
    <row r="15" spans="1:8" ht="34.200000000000003" x14ac:dyDescent="0.25">
      <c r="A15" s="104"/>
      <c r="B15" s="365"/>
      <c r="C15" s="108" t="s">
        <v>749</v>
      </c>
      <c r="D15" s="109" t="s">
        <v>750</v>
      </c>
      <c r="E15" s="109" t="s">
        <v>577</v>
      </c>
      <c r="F15" s="109" t="s">
        <v>751</v>
      </c>
      <c r="G15" s="109" t="s">
        <v>752</v>
      </c>
      <c r="H15" s="111" t="s">
        <v>707</v>
      </c>
    </row>
    <row r="16" spans="1:8" x14ac:dyDescent="0.25">
      <c r="A16" s="104"/>
      <c r="B16" s="123"/>
      <c r="C16" s="366" t="s">
        <v>45</v>
      </c>
      <c r="D16" s="118" t="s">
        <v>46</v>
      </c>
      <c r="E16" s="118" t="s">
        <v>47</v>
      </c>
      <c r="F16" s="118" t="s">
        <v>48</v>
      </c>
      <c r="G16" s="118" t="s">
        <v>49</v>
      </c>
      <c r="H16" s="367" t="s">
        <v>50</v>
      </c>
    </row>
    <row r="17" spans="1:8" x14ac:dyDescent="0.25">
      <c r="A17" s="368" t="s">
        <v>59</v>
      </c>
      <c r="B17" s="51"/>
      <c r="C17" s="50"/>
      <c r="D17" s="41"/>
      <c r="E17" s="41"/>
      <c r="F17" s="41"/>
      <c r="G17" s="41"/>
      <c r="H17" s="51"/>
    </row>
    <row r="18" spans="1:8" x14ac:dyDescent="0.25">
      <c r="A18" s="221" t="s">
        <v>411</v>
      </c>
      <c r="B18" s="277"/>
      <c r="C18" s="369" t="s">
        <v>109</v>
      </c>
      <c r="D18" s="370" t="s">
        <v>757</v>
      </c>
      <c r="E18" s="370" t="s">
        <v>741</v>
      </c>
      <c r="F18" s="370" t="s">
        <v>741</v>
      </c>
      <c r="G18" s="370" t="s">
        <v>741</v>
      </c>
      <c r="H18" s="371" t="s">
        <v>109</v>
      </c>
    </row>
    <row r="19" spans="1:8" x14ac:dyDescent="0.25">
      <c r="A19" s="221" t="s">
        <v>60</v>
      </c>
      <c r="B19" s="277"/>
      <c r="C19" s="369" t="s">
        <v>628</v>
      </c>
      <c r="D19" s="370" t="s">
        <v>628</v>
      </c>
      <c r="E19" s="370" t="s">
        <v>741</v>
      </c>
      <c r="F19" s="370" t="s">
        <v>746</v>
      </c>
      <c r="G19" s="370" t="s">
        <v>741</v>
      </c>
      <c r="H19" s="371" t="s">
        <v>741</v>
      </c>
    </row>
    <row r="20" spans="1:8" x14ac:dyDescent="0.25">
      <c r="A20" s="221" t="s">
        <v>307</v>
      </c>
      <c r="B20" s="277"/>
      <c r="C20" s="369" t="s">
        <v>757</v>
      </c>
      <c r="D20" s="370" t="s">
        <v>109</v>
      </c>
      <c r="E20" s="370" t="s">
        <v>741</v>
      </c>
      <c r="F20" s="370" t="s">
        <v>741</v>
      </c>
      <c r="G20" s="370" t="s">
        <v>109</v>
      </c>
      <c r="H20" s="371" t="s">
        <v>741</v>
      </c>
    </row>
    <row r="21" spans="1:8" x14ac:dyDescent="0.25">
      <c r="A21" s="221" t="s">
        <v>413</v>
      </c>
      <c r="B21" s="277"/>
      <c r="C21" s="369" t="s">
        <v>731</v>
      </c>
      <c r="D21" s="370" t="s">
        <v>109</v>
      </c>
      <c r="E21" s="370" t="s">
        <v>741</v>
      </c>
      <c r="F21" s="370" t="s">
        <v>741</v>
      </c>
      <c r="G21" s="370" t="s">
        <v>109</v>
      </c>
      <c r="H21" s="371" t="s">
        <v>741</v>
      </c>
    </row>
    <row r="22" spans="1:8" x14ac:dyDescent="0.25">
      <c r="A22" s="221" t="s">
        <v>63</v>
      </c>
      <c r="B22" s="277"/>
      <c r="C22" s="369" t="s">
        <v>741</v>
      </c>
      <c r="D22" s="370" t="s">
        <v>741</v>
      </c>
      <c r="E22" s="370" t="s">
        <v>741</v>
      </c>
      <c r="F22" s="370" t="s">
        <v>109</v>
      </c>
      <c r="G22" s="370" t="s">
        <v>109</v>
      </c>
      <c r="H22" s="371" t="s">
        <v>741</v>
      </c>
    </row>
    <row r="23" spans="1:8" x14ac:dyDescent="0.25">
      <c r="A23" s="221" t="s">
        <v>64</v>
      </c>
      <c r="B23" s="277"/>
      <c r="C23" s="369" t="s">
        <v>741</v>
      </c>
      <c r="D23" s="370" t="s">
        <v>109</v>
      </c>
      <c r="E23" s="370" t="s">
        <v>741</v>
      </c>
      <c r="F23" s="370" t="s">
        <v>109</v>
      </c>
      <c r="G23" s="370" t="s">
        <v>741</v>
      </c>
      <c r="H23" s="371" t="s">
        <v>741</v>
      </c>
    </row>
    <row r="24" spans="1:8" x14ac:dyDescent="0.25">
      <c r="A24" s="221" t="s">
        <v>65</v>
      </c>
      <c r="B24" s="277"/>
      <c r="C24" s="369" t="s">
        <v>758</v>
      </c>
      <c r="D24" s="370" t="s">
        <v>109</v>
      </c>
      <c r="E24" s="370" t="s">
        <v>741</v>
      </c>
      <c r="F24" s="370" t="s">
        <v>741</v>
      </c>
      <c r="G24" s="370" t="s">
        <v>741</v>
      </c>
      <c r="H24" s="371" t="s">
        <v>758</v>
      </c>
    </row>
    <row r="25" spans="1:8" x14ac:dyDescent="0.25">
      <c r="A25" s="221" t="s">
        <v>66</v>
      </c>
      <c r="B25" s="277"/>
      <c r="C25" s="369" t="s">
        <v>731</v>
      </c>
      <c r="D25" s="370" t="s">
        <v>741</v>
      </c>
      <c r="E25" s="370" t="s">
        <v>741</v>
      </c>
      <c r="F25" s="370" t="s">
        <v>741</v>
      </c>
      <c r="G25" s="370" t="s">
        <v>741</v>
      </c>
      <c r="H25" s="371" t="s">
        <v>741</v>
      </c>
    </row>
    <row r="26" spans="1:8" ht="34.200000000000003" x14ac:dyDescent="0.25">
      <c r="A26" s="221" t="s">
        <v>67</v>
      </c>
      <c r="B26" s="277"/>
      <c r="C26" s="369" t="s">
        <v>759</v>
      </c>
      <c r="D26" s="370" t="s">
        <v>759</v>
      </c>
      <c r="E26" s="370" t="s">
        <v>741</v>
      </c>
      <c r="F26" s="370" t="s">
        <v>741</v>
      </c>
      <c r="G26" s="370" t="s">
        <v>741</v>
      </c>
      <c r="H26" s="371" t="s">
        <v>741</v>
      </c>
    </row>
    <row r="27" spans="1:8" x14ac:dyDescent="0.25">
      <c r="A27" s="221" t="s">
        <v>753</v>
      </c>
      <c r="B27" s="277"/>
      <c r="C27" s="369" t="s">
        <v>760</v>
      </c>
      <c r="D27" s="370" t="s">
        <v>761</v>
      </c>
      <c r="E27" s="370" t="s">
        <v>741</v>
      </c>
      <c r="F27" s="370" t="s">
        <v>741</v>
      </c>
      <c r="G27" s="370" t="s">
        <v>741</v>
      </c>
      <c r="H27" s="371" t="s">
        <v>741</v>
      </c>
    </row>
    <row r="28" spans="1:8" x14ac:dyDescent="0.25">
      <c r="A28" s="221" t="s">
        <v>69</v>
      </c>
      <c r="B28" s="277"/>
      <c r="C28" s="369" t="s">
        <v>628</v>
      </c>
      <c r="D28" s="370" t="s">
        <v>741</v>
      </c>
      <c r="E28" s="370" t="s">
        <v>746</v>
      </c>
      <c r="F28" s="370" t="s">
        <v>741</v>
      </c>
      <c r="G28" s="370" t="s">
        <v>741</v>
      </c>
      <c r="H28" s="371" t="s">
        <v>741</v>
      </c>
    </row>
    <row r="29" spans="1:8" ht="22.8" x14ac:dyDescent="0.25">
      <c r="A29" s="221" t="s">
        <v>70</v>
      </c>
      <c r="B29" s="277"/>
      <c r="C29" s="369" t="s">
        <v>1043</v>
      </c>
      <c r="D29" s="370" t="s">
        <v>1043</v>
      </c>
      <c r="E29" s="370" t="s">
        <v>741</v>
      </c>
      <c r="F29" s="370" t="s">
        <v>741</v>
      </c>
      <c r="G29" s="370" t="s">
        <v>109</v>
      </c>
      <c r="H29" s="371" t="s">
        <v>741</v>
      </c>
    </row>
    <row r="30" spans="1:8" x14ac:dyDescent="0.25">
      <c r="A30" s="221" t="s">
        <v>71</v>
      </c>
      <c r="B30" s="277"/>
      <c r="C30" s="369" t="s">
        <v>758</v>
      </c>
      <c r="D30" s="370" t="s">
        <v>109</v>
      </c>
      <c r="E30" s="370" t="s">
        <v>746</v>
      </c>
      <c r="F30" s="370" t="s">
        <v>741</v>
      </c>
      <c r="G30" s="370" t="s">
        <v>741</v>
      </c>
      <c r="H30" s="371" t="s">
        <v>741</v>
      </c>
    </row>
    <row r="31" spans="1:8" s="33" customFormat="1" x14ac:dyDescent="0.25">
      <c r="A31" s="412" t="s">
        <v>72</v>
      </c>
      <c r="B31" s="277"/>
      <c r="C31" s="369" t="s">
        <v>762</v>
      </c>
      <c r="D31" s="370" t="s">
        <v>109</v>
      </c>
      <c r="E31" s="370" t="s">
        <v>741</v>
      </c>
      <c r="F31" s="370" t="s">
        <v>762</v>
      </c>
      <c r="G31" s="370" t="s">
        <v>741</v>
      </c>
      <c r="H31" s="371" t="s">
        <v>762</v>
      </c>
    </row>
    <row r="32" spans="1:8" x14ac:dyDescent="0.25">
      <c r="A32" s="221" t="s">
        <v>73</v>
      </c>
      <c r="B32" s="277"/>
      <c r="C32" s="369" t="s">
        <v>763</v>
      </c>
      <c r="D32" s="370" t="s">
        <v>741</v>
      </c>
      <c r="E32" s="370" t="s">
        <v>741</v>
      </c>
      <c r="F32" s="370" t="s">
        <v>731</v>
      </c>
      <c r="G32" s="370" t="s">
        <v>741</v>
      </c>
      <c r="H32" s="371" t="s">
        <v>741</v>
      </c>
    </row>
    <row r="33" spans="1:8" x14ac:dyDescent="0.25">
      <c r="A33" s="221" t="s">
        <v>74</v>
      </c>
      <c r="B33" s="277"/>
      <c r="C33" s="369" t="s">
        <v>758</v>
      </c>
      <c r="D33" s="370" t="s">
        <v>109</v>
      </c>
      <c r="E33" s="370" t="s">
        <v>741</v>
      </c>
      <c r="F33" s="370" t="s">
        <v>741</v>
      </c>
      <c r="G33" s="370" t="s">
        <v>741</v>
      </c>
      <c r="H33" s="371" t="s">
        <v>764</v>
      </c>
    </row>
    <row r="34" spans="1:8" x14ac:dyDescent="0.25">
      <c r="A34" s="221" t="s">
        <v>75</v>
      </c>
      <c r="B34" s="277"/>
      <c r="C34" s="369" t="s">
        <v>758</v>
      </c>
      <c r="D34" s="370" t="s">
        <v>109</v>
      </c>
      <c r="E34" s="370" t="s">
        <v>741</v>
      </c>
      <c r="F34" s="370" t="s">
        <v>741</v>
      </c>
      <c r="G34" s="370" t="s">
        <v>109</v>
      </c>
      <c r="H34" s="371" t="s">
        <v>741</v>
      </c>
    </row>
    <row r="35" spans="1:8" x14ac:dyDescent="0.25">
      <c r="A35" s="221" t="s">
        <v>76</v>
      </c>
      <c r="B35" s="277"/>
      <c r="C35" s="369" t="s">
        <v>741</v>
      </c>
      <c r="D35" s="370" t="s">
        <v>109</v>
      </c>
      <c r="E35" s="370" t="s">
        <v>741</v>
      </c>
      <c r="F35" s="370" t="s">
        <v>741</v>
      </c>
      <c r="G35" s="370" t="s">
        <v>741</v>
      </c>
      <c r="H35" s="371" t="s">
        <v>741</v>
      </c>
    </row>
    <row r="36" spans="1:8" x14ac:dyDescent="0.25">
      <c r="A36" s="221" t="s">
        <v>77</v>
      </c>
      <c r="B36" s="277"/>
      <c r="C36" s="369" t="s">
        <v>741</v>
      </c>
      <c r="D36" s="370" t="s">
        <v>109</v>
      </c>
      <c r="E36" s="370" t="s">
        <v>741</v>
      </c>
      <c r="F36" s="370" t="s">
        <v>741</v>
      </c>
      <c r="G36" s="370" t="s">
        <v>741</v>
      </c>
      <c r="H36" s="371" t="s">
        <v>741</v>
      </c>
    </row>
    <row r="37" spans="1:8" x14ac:dyDescent="0.25">
      <c r="A37" s="50" t="s">
        <v>94</v>
      </c>
      <c r="B37" s="277"/>
      <c r="C37" s="369" t="s">
        <v>741</v>
      </c>
      <c r="D37" s="370" t="s">
        <v>109</v>
      </c>
      <c r="E37" s="370" t="s">
        <v>741</v>
      </c>
      <c r="F37" s="370" t="s">
        <v>741</v>
      </c>
      <c r="G37" s="370" t="s">
        <v>741</v>
      </c>
      <c r="H37" s="371" t="s">
        <v>741</v>
      </c>
    </row>
    <row r="38" spans="1:8" x14ac:dyDescent="0.25">
      <c r="A38" s="50" t="s">
        <v>95</v>
      </c>
      <c r="B38" s="51"/>
      <c r="C38" s="369" t="s">
        <v>741</v>
      </c>
      <c r="D38" s="370" t="s">
        <v>109</v>
      </c>
      <c r="E38" s="370" t="s">
        <v>741</v>
      </c>
      <c r="F38" s="370" t="s">
        <v>741</v>
      </c>
      <c r="G38" s="370" t="s">
        <v>741</v>
      </c>
      <c r="H38" s="371" t="s">
        <v>741</v>
      </c>
    </row>
    <row r="39" spans="1:8" ht="22.8" x14ac:dyDescent="0.25">
      <c r="A39" s="221" t="s">
        <v>754</v>
      </c>
      <c r="B39" s="277"/>
      <c r="C39" s="369" t="s">
        <v>760</v>
      </c>
      <c r="D39" s="370" t="s">
        <v>109</v>
      </c>
      <c r="E39" s="370" t="s">
        <v>741</v>
      </c>
      <c r="F39" s="370" t="s">
        <v>741</v>
      </c>
      <c r="G39" s="370" t="s">
        <v>741</v>
      </c>
      <c r="H39" s="371" t="s">
        <v>765</v>
      </c>
    </row>
    <row r="40" spans="1:8" x14ac:dyDescent="0.25">
      <c r="A40" s="221" t="s">
        <v>79</v>
      </c>
      <c r="B40" s="277"/>
      <c r="C40" s="369" t="s">
        <v>766</v>
      </c>
      <c r="D40" s="370" t="s">
        <v>109</v>
      </c>
      <c r="E40" s="370" t="s">
        <v>741</v>
      </c>
      <c r="F40" s="370" t="s">
        <v>746</v>
      </c>
      <c r="G40" s="370" t="s">
        <v>741</v>
      </c>
      <c r="H40" s="371" t="s">
        <v>628</v>
      </c>
    </row>
    <row r="41" spans="1:8" x14ac:dyDescent="0.25">
      <c r="A41" s="221" t="s">
        <v>244</v>
      </c>
      <c r="B41" s="277"/>
      <c r="C41" s="369" t="s">
        <v>109</v>
      </c>
      <c r="D41" s="370" t="s">
        <v>731</v>
      </c>
      <c r="E41" s="370" t="s">
        <v>746</v>
      </c>
      <c r="F41" s="370" t="s">
        <v>731</v>
      </c>
      <c r="G41" s="370" t="s">
        <v>741</v>
      </c>
      <c r="H41" s="371" t="s">
        <v>109</v>
      </c>
    </row>
    <row r="42" spans="1:8" x14ac:dyDescent="0.25">
      <c r="A42" s="221" t="s">
        <v>80</v>
      </c>
      <c r="B42" s="277"/>
      <c r="C42" s="369" t="s">
        <v>731</v>
      </c>
      <c r="D42" s="370" t="s">
        <v>109</v>
      </c>
      <c r="E42" s="370" t="s">
        <v>741</v>
      </c>
      <c r="F42" s="370" t="s">
        <v>735</v>
      </c>
      <c r="G42" s="370" t="s">
        <v>741</v>
      </c>
      <c r="H42" s="371" t="s">
        <v>741</v>
      </c>
    </row>
    <row r="43" spans="1:8" x14ac:dyDescent="0.25">
      <c r="A43" s="221" t="s">
        <v>313</v>
      </c>
      <c r="B43" s="277"/>
      <c r="C43" s="369" t="s">
        <v>731</v>
      </c>
      <c r="D43" s="370" t="s">
        <v>109</v>
      </c>
      <c r="E43" s="370" t="s">
        <v>741</v>
      </c>
      <c r="F43" s="370" t="s">
        <v>741</v>
      </c>
      <c r="G43" s="370" t="s">
        <v>741</v>
      </c>
      <c r="H43" s="371" t="s">
        <v>741</v>
      </c>
    </row>
    <row r="44" spans="1:8" x14ac:dyDescent="0.25">
      <c r="A44" s="221" t="s">
        <v>82</v>
      </c>
      <c r="B44" s="277"/>
      <c r="C44" s="369" t="s">
        <v>741</v>
      </c>
      <c r="D44" s="370" t="s">
        <v>741</v>
      </c>
      <c r="E44" s="370" t="s">
        <v>741</v>
      </c>
      <c r="F44" s="370" t="s">
        <v>741</v>
      </c>
      <c r="G44" s="370" t="s">
        <v>109</v>
      </c>
      <c r="H44" s="371" t="s">
        <v>741</v>
      </c>
    </row>
    <row r="45" spans="1:8" x14ac:dyDescent="0.25">
      <c r="A45" s="221" t="s">
        <v>83</v>
      </c>
      <c r="B45" s="277"/>
      <c r="C45" s="369" t="s">
        <v>741</v>
      </c>
      <c r="D45" s="370" t="s">
        <v>109</v>
      </c>
      <c r="E45" s="370" t="s">
        <v>767</v>
      </c>
      <c r="F45" s="370" t="s">
        <v>741</v>
      </c>
      <c r="G45" s="370" t="s">
        <v>109</v>
      </c>
      <c r="H45" s="371" t="s">
        <v>741</v>
      </c>
    </row>
    <row r="46" spans="1:8" x14ac:dyDescent="0.25">
      <c r="A46" s="221" t="s">
        <v>84</v>
      </c>
      <c r="B46" s="277"/>
      <c r="C46" s="369" t="s">
        <v>731</v>
      </c>
      <c r="D46" s="370" t="s">
        <v>109</v>
      </c>
      <c r="E46" s="370" t="s">
        <v>741</v>
      </c>
      <c r="F46" s="370" t="s">
        <v>741</v>
      </c>
      <c r="G46" s="370" t="s">
        <v>741</v>
      </c>
      <c r="H46" s="371" t="s">
        <v>741</v>
      </c>
    </row>
    <row r="47" spans="1:8" x14ac:dyDescent="0.25">
      <c r="A47" s="221" t="s">
        <v>755</v>
      </c>
      <c r="B47" s="277"/>
      <c r="C47" s="369" t="s">
        <v>760</v>
      </c>
      <c r="D47" s="370" t="s">
        <v>731</v>
      </c>
      <c r="E47" s="370" t="s">
        <v>741</v>
      </c>
      <c r="F47" s="370" t="s">
        <v>109</v>
      </c>
      <c r="G47" s="370" t="s">
        <v>109</v>
      </c>
      <c r="H47" s="371" t="s">
        <v>757</v>
      </c>
    </row>
    <row r="48" spans="1:8" x14ac:dyDescent="0.25">
      <c r="A48" s="221" t="s">
        <v>86</v>
      </c>
      <c r="B48" s="277"/>
      <c r="C48" s="369" t="s">
        <v>762</v>
      </c>
      <c r="D48" s="370" t="s">
        <v>762</v>
      </c>
      <c r="E48" s="370" t="s">
        <v>741</v>
      </c>
      <c r="F48" s="370" t="s">
        <v>741</v>
      </c>
      <c r="G48" s="370" t="s">
        <v>741</v>
      </c>
      <c r="H48" s="371" t="s">
        <v>741</v>
      </c>
    </row>
    <row r="49" spans="1:8" x14ac:dyDescent="0.25">
      <c r="A49" s="221" t="s">
        <v>87</v>
      </c>
      <c r="B49" s="277"/>
      <c r="C49" s="369" t="s">
        <v>760</v>
      </c>
      <c r="D49" s="370" t="s">
        <v>109</v>
      </c>
      <c r="E49" s="370" t="s">
        <v>731</v>
      </c>
      <c r="F49" s="370" t="s">
        <v>109</v>
      </c>
      <c r="G49" s="370" t="s">
        <v>109</v>
      </c>
      <c r="H49" s="371" t="s">
        <v>741</v>
      </c>
    </row>
    <row r="50" spans="1:8" x14ac:dyDescent="0.25">
      <c r="A50" s="221" t="s">
        <v>756</v>
      </c>
      <c r="B50" s="277"/>
      <c r="C50" s="369" t="s">
        <v>768</v>
      </c>
      <c r="D50" s="370" t="s">
        <v>109</v>
      </c>
      <c r="E50" s="370" t="s">
        <v>109</v>
      </c>
      <c r="F50" s="370" t="s">
        <v>109</v>
      </c>
      <c r="G50" s="370" t="s">
        <v>109</v>
      </c>
      <c r="H50" s="371" t="s">
        <v>109</v>
      </c>
    </row>
    <row r="51" spans="1:8" x14ac:dyDescent="0.25">
      <c r="A51" s="221" t="s">
        <v>89</v>
      </c>
      <c r="B51" s="277"/>
      <c r="C51" s="369" t="s">
        <v>757</v>
      </c>
      <c r="D51" s="370" t="s">
        <v>757</v>
      </c>
      <c r="E51" s="370" t="s">
        <v>741</v>
      </c>
      <c r="F51" s="370" t="s">
        <v>109</v>
      </c>
      <c r="G51" s="370" t="s">
        <v>741</v>
      </c>
      <c r="H51" s="371" t="s">
        <v>741</v>
      </c>
    </row>
    <row r="52" spans="1:8" x14ac:dyDescent="0.25">
      <c r="A52" s="221" t="s">
        <v>421</v>
      </c>
      <c r="B52" s="277"/>
      <c r="C52" s="369" t="s">
        <v>731</v>
      </c>
      <c r="D52" s="370" t="s">
        <v>109</v>
      </c>
      <c r="E52" s="370" t="s">
        <v>767</v>
      </c>
      <c r="F52" s="370" t="s">
        <v>109</v>
      </c>
      <c r="G52" s="370" t="s">
        <v>109</v>
      </c>
      <c r="H52" s="371" t="s">
        <v>741</v>
      </c>
    </row>
    <row r="53" spans="1:8" x14ac:dyDescent="0.25">
      <c r="A53" s="368" t="s">
        <v>91</v>
      </c>
      <c r="B53" s="277"/>
      <c r="C53" s="264"/>
      <c r="D53" s="39"/>
      <c r="E53" s="41"/>
      <c r="F53" s="41"/>
      <c r="G53" s="41"/>
      <c r="H53" s="51"/>
    </row>
    <row r="54" spans="1:8" x14ac:dyDescent="0.25">
      <c r="A54" s="50" t="s">
        <v>92</v>
      </c>
      <c r="B54" s="277"/>
      <c r="C54" s="369" t="s">
        <v>741</v>
      </c>
      <c r="D54" s="370" t="s">
        <v>109</v>
      </c>
      <c r="E54" s="370" t="s">
        <v>741</v>
      </c>
      <c r="F54" s="370" t="s">
        <v>741</v>
      </c>
      <c r="G54" s="370" t="s">
        <v>109</v>
      </c>
      <c r="H54" s="371" t="s">
        <v>741</v>
      </c>
    </row>
    <row r="55" spans="1:8" ht="45.6" x14ac:dyDescent="0.25">
      <c r="A55" s="50" t="s">
        <v>93</v>
      </c>
      <c r="B55" s="277"/>
      <c r="C55" s="369" t="s">
        <v>741</v>
      </c>
      <c r="D55" s="370" t="s">
        <v>109</v>
      </c>
      <c r="E55" s="370" t="s">
        <v>862</v>
      </c>
      <c r="F55" s="370" t="s">
        <v>741</v>
      </c>
      <c r="G55" s="370" t="s">
        <v>741</v>
      </c>
      <c r="H55" s="371" t="s">
        <v>741</v>
      </c>
    </row>
    <row r="56" spans="1:8" x14ac:dyDescent="0.25">
      <c r="A56" s="50" t="s">
        <v>791</v>
      </c>
      <c r="B56" s="277"/>
      <c r="C56" s="369" t="s">
        <v>741</v>
      </c>
      <c r="D56" s="370" t="s">
        <v>109</v>
      </c>
      <c r="E56" s="370" t="s">
        <v>741</v>
      </c>
      <c r="F56" s="370" t="s">
        <v>741</v>
      </c>
      <c r="G56" s="370" t="s">
        <v>741</v>
      </c>
      <c r="H56" s="371" t="s">
        <v>741</v>
      </c>
    </row>
    <row r="57" spans="1:8" x14ac:dyDescent="0.25">
      <c r="A57" s="50" t="s">
        <v>255</v>
      </c>
      <c r="B57" s="51"/>
      <c r="C57" s="369" t="s">
        <v>731</v>
      </c>
      <c r="D57" s="370" t="s">
        <v>741</v>
      </c>
      <c r="E57" s="370" t="s">
        <v>741</v>
      </c>
      <c r="F57" s="370" t="s">
        <v>741</v>
      </c>
      <c r="G57" s="370" t="s">
        <v>741</v>
      </c>
      <c r="H57" s="371" t="s">
        <v>731</v>
      </c>
    </row>
    <row r="58" spans="1:8" x14ac:dyDescent="0.25">
      <c r="A58" s="121" t="s">
        <v>96</v>
      </c>
      <c r="B58" s="123"/>
      <c r="C58" s="372" t="s">
        <v>741</v>
      </c>
      <c r="D58" s="373" t="s">
        <v>109</v>
      </c>
      <c r="E58" s="373" t="s">
        <v>741</v>
      </c>
      <c r="F58" s="373" t="s">
        <v>741</v>
      </c>
      <c r="G58" s="373" t="s">
        <v>109</v>
      </c>
      <c r="H58" s="374" t="s">
        <v>741</v>
      </c>
    </row>
    <row r="59" spans="1:8" x14ac:dyDescent="0.25">
      <c r="A59" s="104"/>
      <c r="B59" s="104"/>
      <c r="C59" s="104"/>
      <c r="D59" s="104"/>
      <c r="E59" s="104"/>
      <c r="F59" s="104"/>
      <c r="G59" s="104"/>
      <c r="H59" s="104"/>
    </row>
    <row r="60" spans="1:8" x14ac:dyDescent="0.25">
      <c r="A60" s="42" t="s">
        <v>97</v>
      </c>
      <c r="B60" s="41"/>
      <c r="C60" s="375"/>
      <c r="D60" s="376"/>
      <c r="E60" s="375"/>
      <c r="F60" s="375"/>
      <c r="G60" s="376"/>
      <c r="H60" s="375"/>
    </row>
    <row r="61" spans="1:8" x14ac:dyDescent="0.25">
      <c r="A61" s="12" t="s">
        <v>769</v>
      </c>
      <c r="B61" s="12"/>
      <c r="C61" s="12"/>
      <c r="D61" s="12"/>
      <c r="E61" s="12"/>
      <c r="F61" s="12"/>
      <c r="G61" s="12"/>
      <c r="H61" s="12"/>
    </row>
    <row r="62" spans="1:8" x14ac:dyDescent="0.25">
      <c r="A62" s="614" t="s">
        <v>770</v>
      </c>
      <c r="B62" s="614"/>
      <c r="C62" s="614"/>
      <c r="D62" s="614"/>
      <c r="E62" s="614"/>
      <c r="F62" s="614"/>
      <c r="G62" s="614"/>
      <c r="H62" s="614"/>
    </row>
    <row r="63" spans="1:8" x14ac:dyDescent="0.25">
      <c r="A63" s="614" t="s">
        <v>771</v>
      </c>
      <c r="B63" s="614"/>
      <c r="C63" s="614"/>
      <c r="D63" s="614"/>
      <c r="E63" s="614"/>
      <c r="F63" s="614"/>
      <c r="G63" s="614"/>
      <c r="H63" s="614"/>
    </row>
    <row r="64" spans="1:8" x14ac:dyDescent="0.25">
      <c r="A64" s="612" t="s">
        <v>772</v>
      </c>
      <c r="B64" s="612"/>
      <c r="C64" s="612"/>
      <c r="D64" s="612"/>
      <c r="E64" s="612"/>
      <c r="F64" s="612"/>
      <c r="G64" s="612"/>
      <c r="H64" s="612"/>
    </row>
    <row r="65" spans="1:8" x14ac:dyDescent="0.25">
      <c r="A65" s="612" t="s">
        <v>773</v>
      </c>
      <c r="B65" s="612"/>
      <c r="C65" s="612"/>
      <c r="D65" s="612"/>
      <c r="E65" s="612"/>
      <c r="F65" s="612"/>
      <c r="G65" s="612"/>
      <c r="H65" s="612"/>
    </row>
    <row r="66" spans="1:8" x14ac:dyDescent="0.25">
      <c r="A66" s="612" t="s">
        <v>774</v>
      </c>
      <c r="B66" s="612"/>
      <c r="C66" s="612"/>
      <c r="D66" s="612"/>
      <c r="E66" s="612"/>
      <c r="F66" s="612"/>
      <c r="G66" s="612"/>
      <c r="H66" s="612"/>
    </row>
    <row r="67" spans="1:8" x14ac:dyDescent="0.25">
      <c r="A67" s="274"/>
      <c r="B67" s="39"/>
      <c r="C67" s="39"/>
      <c r="D67" s="39"/>
      <c r="E67" s="39"/>
      <c r="F67" s="39"/>
      <c r="G67" s="39"/>
      <c r="H67" s="39"/>
    </row>
    <row r="68" spans="1:8" x14ac:dyDescent="0.25">
      <c r="A68" s="1" t="s">
        <v>105</v>
      </c>
      <c r="B68" s="12"/>
      <c r="C68" s="377" t="s">
        <v>10</v>
      </c>
      <c r="D68" s="12"/>
      <c r="E68" s="12"/>
      <c r="F68" s="12"/>
      <c r="G68" s="12"/>
      <c r="H68" s="12"/>
    </row>
  </sheetData>
  <mergeCells count="15">
    <mergeCell ref="A65:H65"/>
    <mergeCell ref="A66:H66"/>
    <mergeCell ref="B9:D9"/>
    <mergeCell ref="F9:H9"/>
    <mergeCell ref="B12:D12"/>
    <mergeCell ref="A62:H62"/>
    <mergeCell ref="A63:H63"/>
    <mergeCell ref="A64:H64"/>
    <mergeCell ref="B8:D8"/>
    <mergeCell ref="F8:H8"/>
    <mergeCell ref="A1:H1"/>
    <mergeCell ref="A2:H2"/>
    <mergeCell ref="B6:D6"/>
    <mergeCell ref="F6:H6"/>
    <mergeCell ref="F7:H7"/>
  </mergeCells>
  <hyperlinks>
    <hyperlink ref="C68" r:id="rId1" xr:uid="{00000000-0004-0000-0700-000000000000}"/>
  </hyperlinks>
  <pageMargins left="0.7" right="0.7" top="0.75" bottom="0.75" header="0.3" footer="0.3"/>
  <headerFooter>
    <oddFooter>&amp;C_x000D_&amp;1#&amp;"Calibri"&amp;10&amp;K0000FF Restricted Use - À usage restreint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47"/>
  <sheetViews>
    <sheetView workbookViewId="0">
      <selection activeCell="J21" sqref="J21"/>
    </sheetView>
  </sheetViews>
  <sheetFormatPr defaultRowHeight="13.2" x14ac:dyDescent="0.25"/>
  <cols>
    <col min="1" max="1" width="20" bestFit="1" customWidth="1"/>
    <col min="2" max="2" width="17.88671875" bestFit="1" customWidth="1"/>
  </cols>
  <sheetData>
    <row r="1" spans="1:8" ht="17.399999999999999" x14ac:dyDescent="0.3">
      <c r="A1" s="615" t="s">
        <v>787</v>
      </c>
      <c r="B1" s="616"/>
      <c r="C1" s="403"/>
      <c r="D1" s="403"/>
      <c r="E1" s="403"/>
      <c r="F1" s="403"/>
      <c r="G1" s="403"/>
      <c r="H1" s="403"/>
    </row>
    <row r="2" spans="1:8" ht="17.399999999999999" x14ac:dyDescent="0.3">
      <c r="A2" s="617">
        <v>2018</v>
      </c>
      <c r="B2" s="618"/>
      <c r="C2" s="403"/>
      <c r="D2" s="403"/>
      <c r="E2" s="403"/>
      <c r="F2" s="403"/>
      <c r="G2" s="403"/>
      <c r="H2" s="403"/>
    </row>
    <row r="3" spans="1:8" x14ac:dyDescent="0.25">
      <c r="A3" s="400" t="s">
        <v>59</v>
      </c>
      <c r="B3" s="400" t="s">
        <v>788</v>
      </c>
    </row>
    <row r="4" spans="1:8" x14ac:dyDescent="0.25">
      <c r="A4" s="379" t="s">
        <v>411</v>
      </c>
      <c r="B4" s="382">
        <f>VLOOKUP('Average wages'!A4,Sheet2!A$2:B$41,2,FALSE)</f>
        <v>84324.371661351674</v>
      </c>
    </row>
    <row r="5" spans="1:8" x14ac:dyDescent="0.25">
      <c r="A5" s="379" t="s">
        <v>60</v>
      </c>
      <c r="B5" s="383">
        <f>VLOOKUP('Average wages'!A5,Sheet2!A$2:B$41,2,FALSE)</f>
        <v>47143.120900716982</v>
      </c>
    </row>
    <row r="6" spans="1:8" x14ac:dyDescent="0.25">
      <c r="A6" s="379" t="s">
        <v>307</v>
      </c>
      <c r="B6" s="383">
        <f>VLOOKUP('Average wages'!A6,Sheet2!A$2:B$41,2,FALSE)</f>
        <v>48425.8799505524</v>
      </c>
    </row>
    <row r="7" spans="1:8" x14ac:dyDescent="0.25">
      <c r="A7" s="379" t="s">
        <v>413</v>
      </c>
      <c r="B7" s="399">
        <f>VLOOKUP('Average wages'!A7,Sheet2!A$2:B$41,2,FALSE)</f>
        <v>53486.896851384263</v>
      </c>
    </row>
    <row r="8" spans="1:8" x14ac:dyDescent="0.25">
      <c r="A8" s="379" t="s">
        <v>63</v>
      </c>
      <c r="B8" s="399">
        <f>VLOOKUP('Average wages'!A8,Sheet2!A$2:B$41,2,FALSE)</f>
        <v>9556177.8297272027</v>
      </c>
    </row>
    <row r="9" spans="1:8" x14ac:dyDescent="0.25">
      <c r="A9" s="379" t="s">
        <v>64</v>
      </c>
      <c r="B9" s="384">
        <f>VLOOKUP('Average wages'!A9,Sheet2!A$2:B$41,2,FALSE)</f>
        <v>375463.71777422912</v>
      </c>
    </row>
    <row r="10" spans="1:8" x14ac:dyDescent="0.25">
      <c r="A10" s="379" t="s">
        <v>65</v>
      </c>
      <c r="B10" s="385">
        <f>VLOOKUP('Average wages'!A10,Sheet2!A$2:B$41,2,FALSE)</f>
        <v>423939.92380344879</v>
      </c>
    </row>
    <row r="11" spans="1:8" x14ac:dyDescent="0.25">
      <c r="A11" s="379" t="s">
        <v>66</v>
      </c>
      <c r="B11" s="383">
        <f>VLOOKUP('Average wages'!A11,Sheet2!A$2:B$41,2,FALSE)</f>
        <v>15729.278391453106</v>
      </c>
    </row>
    <row r="12" spans="1:8" x14ac:dyDescent="0.25">
      <c r="A12" s="379" t="s">
        <v>67</v>
      </c>
      <c r="B12" s="383">
        <f>VLOOKUP('Average wages'!A12,Sheet2!A$2:B$41,2,FALSE)</f>
        <v>43913.568122249264</v>
      </c>
    </row>
    <row r="13" spans="1:8" x14ac:dyDescent="0.25">
      <c r="A13" s="379" t="s">
        <v>68</v>
      </c>
      <c r="B13" s="383">
        <f>VLOOKUP('Average wages'!A13,Sheet2!A$2:B$41,2,FALSE)</f>
        <v>39474.295252499796</v>
      </c>
    </row>
    <row r="14" spans="1:8" x14ac:dyDescent="0.25">
      <c r="A14" s="379" t="s">
        <v>69</v>
      </c>
      <c r="B14" s="383">
        <f>VLOOKUP('Average wages'!A14,Sheet2!A$2:B$41,2,FALSE)</f>
        <v>50483.638509479839</v>
      </c>
    </row>
    <row r="15" spans="1:8" x14ac:dyDescent="0.25">
      <c r="A15" s="379" t="s">
        <v>70</v>
      </c>
      <c r="B15" s="383">
        <f>VLOOKUP('Average wages'!A15,Sheet2!A$2:B$41,2,FALSE)</f>
        <v>20871.787986595904</v>
      </c>
    </row>
    <row r="16" spans="1:8" x14ac:dyDescent="0.25">
      <c r="A16" s="379" t="s">
        <v>71</v>
      </c>
      <c r="B16" s="386">
        <f>VLOOKUP('Average wages'!A16,Sheet2!A$2:B$41,2,FALSE)</f>
        <v>4031276.5221538721</v>
      </c>
    </row>
    <row r="17" spans="1:2" x14ac:dyDescent="0.25">
      <c r="A17" s="379" t="s">
        <v>72</v>
      </c>
      <c r="B17" s="387">
        <f>VLOOKUP('Average wages'!A17,Sheet2!A$2:B$41,2,FALSE)</f>
        <v>9401306.2199526597</v>
      </c>
    </row>
    <row r="18" spans="1:2" x14ac:dyDescent="0.25">
      <c r="A18" s="379" t="s">
        <v>73</v>
      </c>
      <c r="B18" s="383">
        <f>VLOOKUP('Average wages'!A18,Sheet2!A$2:B$41,2,FALSE)</f>
        <v>47010.731031776937</v>
      </c>
    </row>
    <row r="19" spans="1:2" x14ac:dyDescent="0.25">
      <c r="A19" s="379" t="s">
        <v>74</v>
      </c>
      <c r="B19" s="388">
        <f>VLOOKUP('Average wages'!A19,Sheet2!A$2:B$41,2,FALSE)</f>
        <v>153114.90603591222</v>
      </c>
    </row>
    <row r="20" spans="1:2" x14ac:dyDescent="0.25">
      <c r="A20" s="379" t="s">
        <v>75</v>
      </c>
      <c r="B20" s="383">
        <f>VLOOKUP('Average wages'!A20,Sheet2!A$2:B$41,2,FALSE)</f>
        <v>31143.707611061302</v>
      </c>
    </row>
    <row r="21" spans="1:2" x14ac:dyDescent="0.25">
      <c r="A21" s="379" t="s">
        <v>76</v>
      </c>
      <c r="B21" s="389">
        <f>VLOOKUP('Average wages'!A21,Sheet2!A$2:B$41,2,FALSE)</f>
        <v>5246705.3911911473</v>
      </c>
    </row>
    <row r="22" spans="1:2" x14ac:dyDescent="0.25">
      <c r="A22" s="379" t="s">
        <v>77</v>
      </c>
      <c r="B22" s="390">
        <f>VLOOKUP('Average wages'!A22,Sheet2!A$2:B$41,2,FALSE)</f>
        <v>47351770.603870094</v>
      </c>
    </row>
    <row r="23" spans="1:2" x14ac:dyDescent="0.25">
      <c r="A23" s="380" t="s">
        <v>94</v>
      </c>
      <c r="B23" s="383">
        <f>VLOOKUP('Average wages'!A23,Sheet2!A$2:B$41,2,FALSE)</f>
        <v>11857.69797988995</v>
      </c>
    </row>
    <row r="24" spans="1:2" x14ac:dyDescent="0.25">
      <c r="A24" s="379" t="s">
        <v>78</v>
      </c>
      <c r="B24" s="383">
        <f>VLOOKUP('Average wages'!A24,Sheet2!A$2:B$41,2,FALSE)</f>
        <v>59749.897347461156</v>
      </c>
    </row>
    <row r="25" spans="1:2" x14ac:dyDescent="0.25">
      <c r="A25" s="379" t="s">
        <v>79</v>
      </c>
      <c r="B25" s="383">
        <f>VLOOKUP('Average wages'!A25,Sheet2!A$2:B$41,2,FALSE)</f>
        <v>52232.819636033259</v>
      </c>
    </row>
    <row r="26" spans="1:2" x14ac:dyDescent="0.25">
      <c r="A26" s="379" t="s">
        <v>244</v>
      </c>
      <c r="B26" s="399">
        <f>VLOOKUP('Average wages'!A26,Sheet2!A$2:B$41,2,FALSE)</f>
        <v>59816.531551814754</v>
      </c>
    </row>
    <row r="27" spans="1:2" x14ac:dyDescent="0.25">
      <c r="A27" s="379" t="s">
        <v>80</v>
      </c>
      <c r="B27" s="391">
        <f>VLOOKUP('Average wages'!A27,Sheet2!A$2:B$41,2,FALSE)</f>
        <v>598064.72039881849</v>
      </c>
    </row>
    <row r="28" spans="1:2" x14ac:dyDescent="0.25">
      <c r="A28" s="379" t="s">
        <v>313</v>
      </c>
      <c r="B28" s="392">
        <f>VLOOKUP('Average wages'!A28,Sheet2!A$2:B$41,2,FALSE)</f>
        <v>54318.845692573603</v>
      </c>
    </row>
    <row r="29" spans="1:2" x14ac:dyDescent="0.25">
      <c r="A29" s="379" t="s">
        <v>82</v>
      </c>
      <c r="B29" s="383">
        <f>VLOOKUP('Average wages'!A29,Sheet2!A$2:B$41,2,FALSE)</f>
        <v>18160.281254328325</v>
      </c>
    </row>
    <row r="30" spans="1:2" x14ac:dyDescent="0.25">
      <c r="A30" s="379" t="s">
        <v>83</v>
      </c>
      <c r="B30" s="383">
        <f>VLOOKUP('Average wages'!A30,Sheet2!A$2:B$41,2,FALSE)</f>
        <v>11963.728260422216</v>
      </c>
    </row>
    <row r="31" spans="1:2" x14ac:dyDescent="0.25">
      <c r="A31" s="379" t="s">
        <v>84</v>
      </c>
      <c r="B31" s="383">
        <f>VLOOKUP('Average wages'!A31,Sheet2!A$2:B$41,2,FALSE)</f>
        <v>19730.317675786449</v>
      </c>
    </row>
    <row r="32" spans="1:2" x14ac:dyDescent="0.25">
      <c r="A32" s="379" t="s">
        <v>85</v>
      </c>
      <c r="B32" s="383">
        <f>VLOOKUP('Average wages'!A32,Sheet2!A$2:B$41,2,FALSE)</f>
        <v>26879.551490802045</v>
      </c>
    </row>
    <row r="33" spans="1:2" x14ac:dyDescent="0.25">
      <c r="A33" s="379" t="s">
        <v>86</v>
      </c>
      <c r="B33" s="391">
        <f>VLOOKUP('Average wages'!A33,Sheet2!A$2:B$41,2,FALSE)</f>
        <v>449562.39143944497</v>
      </c>
    </row>
    <row r="34" spans="1:2" x14ac:dyDescent="0.25">
      <c r="A34" s="379" t="s">
        <v>87</v>
      </c>
      <c r="B34" s="395">
        <f>VLOOKUP('Average wages'!A34,Sheet2!A$2:B$41,2,FALSE)</f>
        <v>87308.905544219961</v>
      </c>
    </row>
    <row r="35" spans="1:2" x14ac:dyDescent="0.25">
      <c r="A35" s="379" t="s">
        <v>88</v>
      </c>
      <c r="B35" s="393">
        <f>VLOOKUP('Average wages'!A35,Sheet2!A$2:B$41,2,FALSE)</f>
        <v>44936.246914033669</v>
      </c>
    </row>
    <row r="36" spans="1:2" x14ac:dyDescent="0.25">
      <c r="A36" s="379" t="s">
        <v>89</v>
      </c>
      <c r="B36" s="394">
        <f>VLOOKUP('Average wages'!A36,Sheet2!A$2:B$41,2,FALSE)</f>
        <v>39250.572672590337</v>
      </c>
    </row>
    <row r="37" spans="1:2" x14ac:dyDescent="0.25">
      <c r="A37" s="379" t="s">
        <v>421</v>
      </c>
      <c r="B37" s="399">
        <f>VLOOKUP('Average wages'!A37,Sheet2!A$2:B$41,2,FALSE)</f>
        <v>54395.906050808189</v>
      </c>
    </row>
    <row r="38" spans="1:2" x14ac:dyDescent="0.25">
      <c r="A38" s="400" t="s">
        <v>91</v>
      </c>
      <c r="B38" s="401"/>
    </row>
    <row r="39" spans="1:2" x14ac:dyDescent="0.25">
      <c r="A39" s="380" t="s">
        <v>92</v>
      </c>
      <c r="B39" s="396">
        <f>VLOOKUP('Average wages'!A39,Sheet2!A$2:B$41,2,FALSE)</f>
        <v>13851.452131189219</v>
      </c>
    </row>
    <row r="40" spans="1:2" x14ac:dyDescent="0.25">
      <c r="A40" s="380" t="s">
        <v>93</v>
      </c>
      <c r="B40" s="397">
        <f>VLOOKUP('Average wages'!A40,Sheet2!A$2:B$41,2,FALSE)</f>
        <v>93968.578009090488</v>
      </c>
    </row>
    <row r="41" spans="1:2" x14ac:dyDescent="0.25">
      <c r="A41" s="380" t="s">
        <v>791</v>
      </c>
      <c r="B41" s="383">
        <f>VLOOKUP('Average wages'!A41,Sheet2!A$2:B$41,2,FALSE)</f>
        <v>23023.715907912472</v>
      </c>
    </row>
    <row r="42" spans="1:2" x14ac:dyDescent="0.25">
      <c r="A42" s="380" t="s">
        <v>95</v>
      </c>
      <c r="B42" s="383">
        <f>VLOOKUP('Average wages'!A42,Sheet2!A$2:B$41,2,FALSE)</f>
        <v>10989.62567615936</v>
      </c>
    </row>
    <row r="43" spans="1:2" x14ac:dyDescent="0.25">
      <c r="A43" s="380" t="s">
        <v>255</v>
      </c>
      <c r="B43" s="383">
        <f>VLOOKUP('Average wages'!A43,Sheet2!A$2:B$41,2,FALSE)</f>
        <v>23331</v>
      </c>
    </row>
    <row r="44" spans="1:2" x14ac:dyDescent="0.25">
      <c r="A44" s="381" t="s">
        <v>96</v>
      </c>
      <c r="B44" s="398">
        <f>VLOOKUP('Average wages'!A44,Sheet2!A$2:B$41,2,FALSE)</f>
        <v>41694.060493187819</v>
      </c>
    </row>
    <row r="46" spans="1:2" x14ac:dyDescent="0.25">
      <c r="A46" s="42" t="s">
        <v>97</v>
      </c>
    </row>
    <row r="47" spans="1:2" x14ac:dyDescent="0.25">
      <c r="A47" s="402" t="s">
        <v>792</v>
      </c>
    </row>
  </sheetData>
  <mergeCells count="2">
    <mergeCell ref="A1:B1"/>
    <mergeCell ref="A2:B2"/>
  </mergeCells>
  <pageMargins left="0.7" right="0.7" top="0.75" bottom="0.75" header="0.3" footer="0.3"/>
  <pageSetup paperSize="9" orientation="portrait" r:id="rId1"/>
  <headerFooter>
    <oddFooter>&amp;C_x000D_&amp;1#&amp;"Calibri"&amp;10&amp;K0000FF Restricted Use - À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Unemployment Insurance</vt:lpstr>
      <vt:lpstr>Unemployment Assistance</vt:lpstr>
      <vt:lpstr>Social Assistance</vt:lpstr>
      <vt:lpstr>Housing Benefits</vt:lpstr>
      <vt:lpstr>Family provisions</vt:lpstr>
      <vt:lpstr>Employment-related provisions</vt:lpstr>
      <vt:lpstr>Tax treatment of benefits</vt:lpstr>
      <vt:lpstr>Average wages</vt:lpstr>
      <vt:lpstr>Sheet2</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BROWNE James</dc:creator>
  <cp:lastModifiedBy>PACIFICO Daniele, ELS/JAI</cp:lastModifiedBy>
  <dcterms:created xsi:type="dcterms:W3CDTF">2018-05-25T08:34:50Z</dcterms:created>
  <dcterms:modified xsi:type="dcterms:W3CDTF">2025-03-04T14:55:23Z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2025-01-23T10:03:45Z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f209d852-d461-437a-a293-dfeaa3bece6d</vt:lpwstr>
  </property>
  <property fmtid="{D5CDD505-2E9C-101B-9397-08002B2CF9AE}" pid="8" name="MSIP_Label_0e5510b0-e729-4ef0-a3dd-4ba0dfe56c99_ContentBits">
    <vt:lpwstr>2</vt:lpwstr>
  </property>
</Properties>
</file>